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C:\Users\212539536\Box\MN Product Management\Cortecs\RT431\"/>
    </mc:Choice>
  </mc:AlternateContent>
  <xr:revisionPtr revIDLastSave="0" documentId="13_ncr:1_{0D406781-2BD1-4F83-B8CE-70A0539D78DD}" xr6:coauthVersionLast="47" xr6:coauthVersionMax="47" xr10:uidLastSave="{00000000-0000-0000-0000-000000000000}"/>
  <workbookProtection workbookAlgorithmName="SHA-512" workbookHashValue="PH2vXeTiCcD/my5++R9nFZFzzUdeT4XsAmdiWV+DG/ghkE6eFEKVyTZ+vWdLfJ17Y3N+NpHxclJX9ZmqYbmarw==" workbookSaltValue="TSyj0I0+o3BMgfqY0iKeBQ==" workbookSpinCount="100000" lockStructure="1"/>
  <bookViews>
    <workbookView xWindow="-28920" yWindow="-120" windowWidth="29040" windowHeight="15840" tabRatio="617" xr2:uid="{00000000-000D-0000-FFFF-FFFF00000000}"/>
  </bookViews>
  <sheets>
    <sheet name="Disclaimer" sheetId="7" r:id="rId1"/>
    <sheet name="Cortec" sheetId="12" r:id="rId2"/>
    <sheet name="Configurator" sheetId="11" r:id="rId3"/>
    <sheet name="Master Text" sheetId="10" r:id="rId4"/>
    <sheet name="Accessories" sheetId="14" r:id="rId5"/>
    <sheet name="Database" sheetId="9" state="hidden" r:id="rId6"/>
    <sheet name="Date Drivers" sheetId="6" state="hidden" r:id="rId7"/>
    <sheet name="Language" sheetId="13"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 i="10" l="1"/>
  <c r="L77" i="6"/>
  <c r="L76" i="6"/>
  <c r="L75" i="6"/>
  <c r="L93" i="6"/>
  <c r="L92" i="6"/>
  <c r="L74" i="6"/>
  <c r="L63" i="6"/>
  <c r="L62" i="6"/>
  <c r="L50" i="6"/>
  <c r="L39" i="6"/>
  <c r="L38" i="6"/>
  <c r="L30" i="6"/>
  <c r="L19" i="6"/>
  <c r="L18" i="6"/>
  <c r="L17" i="6"/>
  <c r="L16" i="6"/>
  <c r="L7" i="6"/>
  <c r="L6" i="6"/>
  <c r="L4" i="6"/>
  <c r="L3" i="6" s="1"/>
  <c r="L1" i="6"/>
  <c r="D32" i="10" l="1"/>
  <c r="K1" i="6" l="1"/>
  <c r="D31" i="10" l="1"/>
  <c r="J1" i="6"/>
  <c r="D30" i="10" l="1"/>
  <c r="I1" i="6"/>
  <c r="D29" i="10" l="1"/>
  <c r="H1" i="6"/>
  <c r="D28" i="10" l="1"/>
  <c r="G1" i="6"/>
  <c r="D27" i="10" l="1"/>
  <c r="D26" i="10"/>
  <c r="F1" i="6"/>
  <c r="E1" i="6" l="1"/>
  <c r="D23" i="10" l="1"/>
  <c r="D25" i="10"/>
  <c r="D24" i="10"/>
  <c r="D1" i="6"/>
  <c r="C1" i="6"/>
  <c r="C3" i="13"/>
  <c r="C33" i="10" s="1"/>
  <c r="B3" i="13"/>
  <c r="B1" i="6"/>
  <c r="B9" i="14" l="1"/>
  <c r="B4" i="14"/>
  <c r="B7" i="14"/>
  <c r="B8" i="14"/>
  <c r="B6" i="14"/>
  <c r="B2" i="14"/>
  <c r="B5" i="14"/>
  <c r="A2" i="14"/>
  <c r="A1" i="14"/>
  <c r="C32" i="10"/>
  <c r="K39" i="6"/>
  <c r="K93" i="6"/>
  <c r="K78" i="6"/>
  <c r="K74" i="6"/>
  <c r="K38" i="6"/>
  <c r="K17" i="6"/>
  <c r="K4" i="6"/>
  <c r="K3" i="6" s="1"/>
  <c r="K50" i="6"/>
  <c r="K92" i="6"/>
  <c r="K77" i="6"/>
  <c r="K63" i="6"/>
  <c r="K30" i="6"/>
  <c r="K16" i="6"/>
  <c r="K75" i="6"/>
  <c r="K18" i="6"/>
  <c r="K80" i="6"/>
  <c r="K76" i="6"/>
  <c r="K62" i="6"/>
  <c r="K19" i="6"/>
  <c r="K7" i="6"/>
  <c r="K79" i="6"/>
  <c r="K6" i="6"/>
  <c r="C31" i="10"/>
  <c r="J93" i="6"/>
  <c r="J77" i="6"/>
  <c r="J63" i="6"/>
  <c r="J38" i="6"/>
  <c r="J17" i="6"/>
  <c r="J4" i="6"/>
  <c r="J3" i="6" s="1"/>
  <c r="J80" i="6"/>
  <c r="J75" i="6"/>
  <c r="J19" i="6"/>
  <c r="J6" i="6"/>
  <c r="J92" i="6"/>
  <c r="J76" i="6"/>
  <c r="J62" i="6"/>
  <c r="C51" i="9" s="1"/>
  <c r="J30" i="6"/>
  <c r="J16" i="6"/>
  <c r="J79" i="6"/>
  <c r="J50" i="6"/>
  <c r="J7" i="6"/>
  <c r="J78" i="6"/>
  <c r="J74" i="6"/>
  <c r="J39" i="6"/>
  <c r="J18" i="6"/>
  <c r="D59" i="9"/>
  <c r="L34" i="12" s="1"/>
  <c r="D78" i="6"/>
  <c r="I39" i="6"/>
  <c r="I79" i="6"/>
  <c r="I75" i="6"/>
  <c r="I50" i="6"/>
  <c r="I17" i="6"/>
  <c r="C12" i="9" s="1"/>
  <c r="A13" i="12" s="1"/>
  <c r="I4" i="6"/>
  <c r="I3" i="6" s="1"/>
  <c r="I19" i="6"/>
  <c r="I7" i="6"/>
  <c r="C30" i="10"/>
  <c r="I62" i="6"/>
  <c r="I6" i="6"/>
  <c r="I38" i="6"/>
  <c r="I78" i="6"/>
  <c r="I74" i="6"/>
  <c r="I30" i="6"/>
  <c r="I16" i="6"/>
  <c r="I93" i="6"/>
  <c r="I77" i="6"/>
  <c r="I63" i="6"/>
  <c r="I92" i="6"/>
  <c r="I76" i="6"/>
  <c r="I18" i="6"/>
  <c r="H77" i="6"/>
  <c r="H92" i="6"/>
  <c r="H50" i="6"/>
  <c r="H18" i="6"/>
  <c r="H6" i="6"/>
  <c r="H79" i="6"/>
  <c r="H30" i="6"/>
  <c r="C29" i="10"/>
  <c r="H76" i="6"/>
  <c r="H74" i="6"/>
  <c r="H38" i="6"/>
  <c r="H17" i="6"/>
  <c r="H4" i="6"/>
  <c r="H3" i="6" s="1"/>
  <c r="H75" i="6"/>
  <c r="H16" i="6"/>
  <c r="H78" i="6"/>
  <c r="H93" i="6"/>
  <c r="H62" i="6"/>
  <c r="H19" i="6"/>
  <c r="H7" i="6"/>
  <c r="H63" i="6"/>
  <c r="G92" i="6"/>
  <c r="G76" i="6"/>
  <c r="G78" i="6"/>
  <c r="G38" i="6"/>
  <c r="C28" i="10"/>
  <c r="G79" i="6"/>
  <c r="G75" i="6"/>
  <c r="G50" i="6"/>
  <c r="G17" i="6"/>
  <c r="G93" i="6"/>
  <c r="G77" i="6"/>
  <c r="G63" i="6"/>
  <c r="G19" i="6"/>
  <c r="G7" i="6"/>
  <c r="G62" i="6"/>
  <c r="G18" i="6"/>
  <c r="G6" i="6"/>
  <c r="G4" i="6"/>
  <c r="G3" i="6" s="1"/>
  <c r="G30" i="6"/>
  <c r="G74" i="6"/>
  <c r="G16" i="6"/>
  <c r="F39" i="6"/>
  <c r="F38" i="6"/>
  <c r="F93" i="6"/>
  <c r="F77" i="6"/>
  <c r="F63" i="6"/>
  <c r="F30" i="6"/>
  <c r="F16" i="6"/>
  <c r="F62" i="6"/>
  <c r="F7" i="6"/>
  <c r="C27" i="10"/>
  <c r="F79" i="6"/>
  <c r="F75" i="6"/>
  <c r="F50" i="6"/>
  <c r="F18" i="6"/>
  <c r="F6" i="6"/>
  <c r="F76" i="6"/>
  <c r="C26" i="10"/>
  <c r="F78" i="6"/>
  <c r="F74" i="6"/>
  <c r="F31" i="6"/>
  <c r="F17" i="6"/>
  <c r="F4" i="6"/>
  <c r="F3" i="6" s="1"/>
  <c r="F92" i="6"/>
  <c r="F19" i="6"/>
  <c r="B16" i="6"/>
  <c r="B74" i="6"/>
  <c r="A6" i="6"/>
  <c r="A8" i="12" s="1"/>
  <c r="B76" i="6"/>
  <c r="K3" i="12"/>
  <c r="A30" i="6"/>
  <c r="A22" i="9" s="1"/>
  <c r="A8" i="11" s="1"/>
  <c r="B50" i="6"/>
  <c r="B6" i="6"/>
  <c r="B4" i="6"/>
  <c r="B3" i="6" s="1"/>
  <c r="B77" i="6"/>
  <c r="A1" i="12"/>
  <c r="A92" i="6"/>
  <c r="A38" i="12" s="1"/>
  <c r="A38" i="6"/>
  <c r="A34" i="9" s="1"/>
  <c r="A10" i="11" s="1"/>
  <c r="A21" i="10"/>
  <c r="A3" i="12"/>
  <c r="C20" i="9"/>
  <c r="D61" i="9"/>
  <c r="D44" i="9"/>
  <c r="I25" i="12" s="1"/>
  <c r="D52" i="9"/>
  <c r="K30" i="12" s="1"/>
  <c r="D11" i="9"/>
  <c r="F12" i="12" s="1"/>
  <c r="D60" i="9"/>
  <c r="L35" i="12" s="1"/>
  <c r="D14" i="9"/>
  <c r="F15" i="12" s="1"/>
  <c r="D35" i="9"/>
  <c r="H21" i="12" s="1"/>
  <c r="D58" i="9"/>
  <c r="L33" i="12" s="1"/>
  <c r="D5" i="9"/>
  <c r="D3" i="9" s="1"/>
  <c r="D23" i="9"/>
  <c r="G18" i="12" s="1"/>
  <c r="D70" i="9"/>
  <c r="D25" i="9"/>
  <c r="C25" i="9"/>
  <c r="D36" i="9"/>
  <c r="H22" i="12" s="1"/>
  <c r="D4" i="9"/>
  <c r="A50" i="6"/>
  <c r="A24" i="12" s="1"/>
  <c r="C22" i="10"/>
  <c r="A74" i="6"/>
  <c r="A32" i="12" s="1"/>
  <c r="B75" i="6"/>
  <c r="A62" i="6"/>
  <c r="A50" i="9" s="1"/>
  <c r="A13" i="10" s="1"/>
  <c r="B18" i="6"/>
  <c r="B3" i="7"/>
  <c r="B4" i="7"/>
  <c r="B11" i="7"/>
  <c r="B79" i="6"/>
  <c r="B17" i="6"/>
  <c r="B93" i="6"/>
  <c r="B78" i="6"/>
  <c r="C77" i="6"/>
  <c r="D19" i="6"/>
  <c r="D79" i="6"/>
  <c r="C18" i="6"/>
  <c r="C93" i="6"/>
  <c r="D32" i="6"/>
  <c r="B6" i="7"/>
  <c r="B92" i="6"/>
  <c r="B62" i="6"/>
  <c r="A16" i="6"/>
  <c r="A11" i="12" s="1"/>
  <c r="B30" i="6"/>
  <c r="B38" i="6"/>
  <c r="B32" i="6"/>
  <c r="B3" i="12"/>
  <c r="B19" i="6"/>
  <c r="B31" i="6"/>
  <c r="C32" i="6"/>
  <c r="D92" i="6"/>
  <c r="C62" i="6"/>
  <c r="D16" i="6"/>
  <c r="D76" i="6"/>
  <c r="A3" i="6"/>
  <c r="A5" i="12" s="1"/>
  <c r="C23" i="10"/>
  <c r="C16" i="6"/>
  <c r="C30" i="6"/>
  <c r="C39" i="6"/>
  <c r="C75" i="6"/>
  <c r="C79" i="6"/>
  <c r="C6" i="6"/>
  <c r="D6" i="6"/>
  <c r="D18" i="6"/>
  <c r="D30" i="6"/>
  <c r="D38" i="6"/>
  <c r="D62" i="6"/>
  <c r="B63" i="6"/>
  <c r="B39" i="6"/>
  <c r="C17" i="6"/>
  <c r="C31" i="6"/>
  <c r="C50" i="6"/>
  <c r="C76" i="6"/>
  <c r="C92" i="6"/>
  <c r="D7" i="6"/>
  <c r="D31" i="6"/>
  <c r="D39" i="6"/>
  <c r="D74" i="6"/>
  <c r="C63" i="6"/>
  <c r="D75" i="6"/>
  <c r="E93" i="6"/>
  <c r="E92" i="6"/>
  <c r="E76" i="6"/>
  <c r="E62" i="6"/>
  <c r="E18" i="6"/>
  <c r="E6" i="6"/>
  <c r="E17" i="6"/>
  <c r="E4" i="6"/>
  <c r="E3" i="6" s="1"/>
  <c r="E78" i="6"/>
  <c r="E74" i="6"/>
  <c r="E16" i="6"/>
  <c r="E63" i="6"/>
  <c r="E7" i="6"/>
  <c r="C5" i="9" s="1"/>
  <c r="E50" i="6"/>
  <c r="E79" i="6"/>
  <c r="E75" i="6"/>
  <c r="E31" i="6"/>
  <c r="E38" i="6"/>
  <c r="E30" i="6"/>
  <c r="E77" i="6"/>
  <c r="E19" i="6"/>
  <c r="C4" i="6"/>
  <c r="C3" i="6" s="1"/>
  <c r="C19" i="6"/>
  <c r="C38" i="6"/>
  <c r="C74" i="6"/>
  <c r="C78" i="6"/>
  <c r="C7" i="6"/>
  <c r="D4" i="6"/>
  <c r="D3" i="6" s="1"/>
  <c r="D17" i="6"/>
  <c r="D50" i="6"/>
  <c r="D93" i="6"/>
  <c r="D63" i="6"/>
  <c r="D77" i="6"/>
  <c r="C24" i="10"/>
  <c r="C25" i="10"/>
  <c r="D71" i="9"/>
  <c r="M40" i="12" s="1"/>
  <c r="C67" i="9"/>
  <c r="D51" i="9"/>
  <c r="D13" i="9"/>
  <c r="F14" i="12" s="1"/>
  <c r="D12" i="9"/>
  <c r="F13" i="12" s="1"/>
  <c r="A9" i="12" l="1"/>
  <c r="C3" i="9"/>
  <c r="C70" i="9"/>
  <c r="A39" i="12" s="1"/>
  <c r="E9" i="12"/>
  <c r="G5" i="11"/>
  <c r="C11" i="9"/>
  <c r="A12" i="12" s="1"/>
  <c r="C36" i="9"/>
  <c r="A22" i="12" s="1"/>
  <c r="C13" i="9"/>
  <c r="A14" i="12" s="1"/>
  <c r="C52" i="9"/>
  <c r="C50" i="9" s="1"/>
  <c r="A14" i="10" s="1"/>
  <c r="A20" i="12"/>
  <c r="C35" i="9"/>
  <c r="A21" i="12" s="1"/>
  <c r="C44" i="9"/>
  <c r="A25" i="12" s="1"/>
  <c r="A9" i="10"/>
  <c r="C71" i="9"/>
  <c r="A40" i="12" s="1"/>
  <c r="A69" i="9"/>
  <c r="A18" i="11" s="1"/>
  <c r="C4" i="9"/>
  <c r="L36" i="12"/>
  <c r="D57" i="9"/>
  <c r="G17" i="11" s="1"/>
  <c r="M3" i="11" s="1"/>
  <c r="D69" i="9"/>
  <c r="G19" i="11" s="1"/>
  <c r="N3" i="11" s="1"/>
  <c r="D34" i="9"/>
  <c r="G11" i="11" s="1"/>
  <c r="J3" i="11" s="1"/>
  <c r="C60" i="9"/>
  <c r="A35" i="12" s="1"/>
  <c r="A17" i="12"/>
  <c r="C58" i="9"/>
  <c r="A33" i="12" s="1"/>
  <c r="C61" i="9"/>
  <c r="A2" i="9"/>
  <c r="A1" i="11" s="1"/>
  <c r="A7" i="10"/>
  <c r="D22" i="9"/>
  <c r="G9" i="11" s="1"/>
  <c r="I3" i="11" s="1"/>
  <c r="C14" i="9"/>
  <c r="A15" i="12" s="1"/>
  <c r="C59" i="9"/>
  <c r="A34" i="12" s="1"/>
  <c r="A3" i="9"/>
  <c r="A4" i="11" s="1"/>
  <c r="D43" i="9"/>
  <c r="G13" i="11" s="1"/>
  <c r="K3" i="11" s="1"/>
  <c r="C23" i="9"/>
  <c r="C22" i="9" s="1"/>
  <c r="A8" i="10" s="1"/>
  <c r="D10" i="9"/>
  <c r="G7" i="11" s="1"/>
  <c r="H3" i="11" s="1"/>
  <c r="M39" i="12"/>
  <c r="G3" i="11"/>
  <c r="A14" i="11"/>
  <c r="A28" i="12"/>
  <c r="A43" i="9"/>
  <c r="A11" i="10" s="1"/>
  <c r="A10" i="9"/>
  <c r="A6" i="11" s="1"/>
  <c r="A29" i="12"/>
  <c r="A57" i="9"/>
  <c r="D50" i="9"/>
  <c r="G15" i="11" s="1"/>
  <c r="L3" i="11" s="1"/>
  <c r="K29" i="12"/>
  <c r="A4" i="10" l="1"/>
  <c r="A30" i="12"/>
  <c r="C10" i="9"/>
  <c r="A6" i="10" s="1"/>
  <c r="C43" i="9"/>
  <c r="A12" i="10" s="1"/>
  <c r="C34" i="9"/>
  <c r="A10" i="10"/>
  <c r="A18" i="12"/>
  <c r="A12" i="11"/>
  <c r="C69" i="9"/>
  <c r="A18" i="10" s="1"/>
  <c r="A17" i="10"/>
  <c r="A5" i="10"/>
  <c r="A3" i="10"/>
  <c r="A6" i="12"/>
  <c r="A36" i="12"/>
  <c r="C57" i="9"/>
  <c r="A16" i="10" s="1"/>
  <c r="A2" i="10"/>
  <c r="C2" i="9"/>
  <c r="A1" i="10" s="1"/>
  <c r="A16" i="11"/>
  <c r="A15" i="10"/>
</calcChain>
</file>

<file path=xl/sharedStrings.xml><?xml version="1.0" encoding="utf-8"?>
<sst xmlns="http://schemas.openxmlformats.org/spreadsheetml/2006/main" count="378" uniqueCount="265">
  <si>
    <t>A</t>
  </si>
  <si>
    <t>B</t>
  </si>
  <si>
    <t>C</t>
  </si>
  <si>
    <t xml:space="preserve">Our policy is one of continuous development. Accordingly the design of our products may change at any time. </t>
  </si>
  <si>
    <t>Whilst every effort is made to produce up to date literature, this document should only be regarded as a guide and is intended for information purposes only.</t>
  </si>
  <si>
    <t>Its contents do not constitute an offer for sale or advice on the application of any product referred to in it. We cannot be held responsible for any reliance on any decisions taken on its contents without specific advice.</t>
  </si>
  <si>
    <t>Key Date</t>
  </si>
  <si>
    <t>Variants</t>
  </si>
  <si>
    <t>Base date</t>
  </si>
  <si>
    <t>Order Number</t>
  </si>
  <si>
    <t>1-5</t>
  </si>
  <si>
    <t>Model Type</t>
  </si>
  <si>
    <t>Customization / Regionalisation</t>
  </si>
  <si>
    <t>Default</t>
  </si>
  <si>
    <t>Reason branding</t>
  </si>
  <si>
    <t>Hardware Design Suffix</t>
  </si>
  <si>
    <t>P</t>
  </si>
  <si>
    <t>Sample Customer specific</t>
  </si>
  <si>
    <t>RJ45 copper 100BASE-TX for configuration only</t>
  </si>
  <si>
    <t>RJ45 copper 100BASE-TX for NTP server and configuration</t>
  </si>
  <si>
    <t>N</t>
  </si>
  <si>
    <t>RJ45 copper 100BASE-TX for PTP (IEEE 1588) server, NTP server and configuration</t>
  </si>
  <si>
    <t>Firmware Version</t>
  </si>
  <si>
    <t>05</t>
  </si>
  <si>
    <t>9-10</t>
  </si>
  <si>
    <t>RT431</t>
  </si>
  <si>
    <t>Power Supply</t>
  </si>
  <si>
    <t>Ethernet Interface</t>
  </si>
  <si>
    <t>RJ45 copper 100BASE-TX for PTP (IEEE 1588) client</t>
  </si>
  <si>
    <t>S</t>
  </si>
  <si>
    <t>Optional</t>
  </si>
  <si>
    <t>GPS Antenna</t>
  </si>
  <si>
    <t>Without antenna</t>
  </si>
  <si>
    <t>3.3V TNC Female active GPS antenna</t>
  </si>
  <si>
    <t>Antenna Cable</t>
  </si>
  <si>
    <t>No cable</t>
  </si>
  <si>
    <t>15 m (50 ft) TNC Male to BNC Male RGC-58 antenna cable</t>
  </si>
  <si>
    <t>25 m (82 ft) TNC Male to BNC Male RGC-58 antenna cable</t>
  </si>
  <si>
    <t>75 m (246 ft) TNC Male to BNC Male RGC-08 low attenuation antenna cable</t>
  </si>
  <si>
    <t>100 m (328 ft) TNC Male to BNC Male RGC-08 low attenuation antenna cable</t>
  </si>
  <si>
    <t>Surge Arrester</t>
  </si>
  <si>
    <t>Without surge arrester</t>
  </si>
  <si>
    <t>10 kA, 50 Ohms, BNC-type connector Surge Arrester for 0-2000 MHz</t>
  </si>
  <si>
    <t>Languages</t>
  </si>
  <si>
    <t>En</t>
  </si>
  <si>
    <t>Pt</t>
  </si>
  <si>
    <t>Es</t>
  </si>
  <si>
    <t>Modelo</t>
  </si>
  <si>
    <t>English</t>
  </si>
  <si>
    <t>Português</t>
  </si>
  <si>
    <t>Alimentación</t>
  </si>
  <si>
    <t>Espanhol</t>
  </si>
  <si>
    <t>Power Supply 2</t>
  </si>
  <si>
    <t>Alimentação 2</t>
  </si>
  <si>
    <t>Alimentación 2</t>
  </si>
  <si>
    <t>Not installed</t>
  </si>
  <si>
    <t>Não instalado</t>
  </si>
  <si>
    <t>RJ45 cobre 100BASE-TX para configuração apenas</t>
  </si>
  <si>
    <t>RJ45 de cobre 100BASE-TX para la configuración solamente</t>
  </si>
  <si>
    <t>RJ45 cobre 100BASE-TX para servidor NTP e configuração</t>
  </si>
  <si>
    <t>RJ45 de cobre 100BASE-TX para servidor NTP y configuración</t>
  </si>
  <si>
    <t>RJ45 cobre 100BASE-TX para servidor PTP (IEEE 1588), servidor NTP e configuração</t>
  </si>
  <si>
    <t>RJ45 de cobre 100BASE-TX para servidor PTP (IEEE 1588), servidor NTP y configuración</t>
  </si>
  <si>
    <t>Ethernet Interface 2</t>
  </si>
  <si>
    <t>Interface Ethernet 2</t>
  </si>
  <si>
    <t>Interfaz Ethernet 2</t>
  </si>
  <si>
    <t>PRP-redundant RJ45 copper 100BASE-TX port (same function as interface 1)*</t>
  </si>
  <si>
    <t>Redundância PRP RJ45 cobre 100BASE-TX (mesma função que a interface 1)*</t>
  </si>
  <si>
    <t>Redundancia PRP RJ45 cobre 100BASE-TX (misma función que la interfaz 1) *</t>
  </si>
  <si>
    <t>Not valid for PTP server</t>
  </si>
  <si>
    <t>Não é válido para servidor PTP</t>
  </si>
  <si>
    <t>No es válido para el servidor de PTP</t>
  </si>
  <si>
    <t>Customização / Regionalização</t>
  </si>
  <si>
    <t>Personalización / Regionalización</t>
  </si>
  <si>
    <t>Marca Reason</t>
  </si>
  <si>
    <t>Amostra Específica do Cliente</t>
  </si>
  <si>
    <t>Muestra Específica del Cliente</t>
  </si>
  <si>
    <t>Versão de Firmware</t>
  </si>
  <si>
    <t>Versión del Firmware</t>
  </si>
  <si>
    <t>Sufixo do Hardware Design</t>
  </si>
  <si>
    <t>Sufijo Designdador del Hardware</t>
  </si>
  <si>
    <t>Versão Inicial</t>
  </si>
  <si>
    <t>Versión Inicial</t>
  </si>
  <si>
    <t>Antena GPS</t>
  </si>
  <si>
    <t>3.3V TNC ativo fêmea antena GPS</t>
  </si>
  <si>
    <t>3.3 V TNC Activo Hembra GPS</t>
  </si>
  <si>
    <t>Cabo da Antena</t>
  </si>
  <si>
    <t>Cable de la Antena</t>
  </si>
  <si>
    <t>Sem cabo</t>
  </si>
  <si>
    <t>15 m (50 ft) TNC Macho para BNC Macho RGC-58</t>
  </si>
  <si>
    <t>15 m (50 pies) TNC macho a BNC macho RGC-58</t>
  </si>
  <si>
    <t>25 m (82 ft) TNC Macho para BNC Macho RGC-58</t>
  </si>
  <si>
    <t>25 m (82 pies) TNC macho a BNC macho RGC-58</t>
  </si>
  <si>
    <t>75 m (246 ft) TNC Macho para BNC Macho RGC-08 baixa atenuação</t>
  </si>
  <si>
    <t>75 m (246 pies) TNC macho a BNC macho RGC-08 baja atenuación</t>
  </si>
  <si>
    <t>100 m (328 ft) TNC Macho para BNC Macho RGC-08 baixa atenuação</t>
  </si>
  <si>
    <t>100 m (328 pies) TNC macho a BNC macho RGC-08 baja atenuación</t>
  </si>
  <si>
    <t>Supressor de Surto</t>
  </si>
  <si>
    <t>Supresor de Sobretensión</t>
  </si>
  <si>
    <t>Sem supressor de surto</t>
  </si>
  <si>
    <t>10 kA, 50 Ohms, conector BNC Supressor de Surto para 0-2000 MHz</t>
  </si>
  <si>
    <t>10 kA, 50 Ohms, conector BNC Supressor de Sobretensión para 0-2000 MHz</t>
  </si>
  <si>
    <t>Issue:</t>
  </si>
  <si>
    <t>Emissão:</t>
  </si>
  <si>
    <t>Emisión:</t>
  </si>
  <si>
    <t>Original Created</t>
  </si>
  <si>
    <t>Criado Originalmente</t>
  </si>
  <si>
    <t>Creado Originalmente</t>
  </si>
  <si>
    <t>Language Selection</t>
  </si>
  <si>
    <t>Seleção de idioma</t>
  </si>
  <si>
    <t>Selección del Idioma</t>
  </si>
  <si>
    <t>Nuestra política es de desarrollo continuo. Por lo tanto el diseño de nuestros productos puede cambiar en cualquier momento.</t>
  </si>
  <si>
    <t xml:space="preserve">Embora sejam demandados esforços para manter a documentação atualizada, este documento deve ser visto como um guia e destina-se apenas para fins informativos. </t>
  </si>
  <si>
    <t>A pesar del esfuerzo por producir literatura actualizada, este documento sólo debe considerarse como una guía y está destinada únicamente a fines informativos.</t>
  </si>
  <si>
    <t>Seu conteúdo não constitui uma proposta para venda ou recomendação sobre a aplicação de qualquer produto nele mencionado. Nós não podemos ser responsabilizados por quaisquer consequências em decisões tomadas sobre o seu conteúdo, sem recomendações específicas.</t>
  </si>
  <si>
    <t>Su contenido no constituye una oferta de venta o asesoramiento en la aplicación de cualquier producto contemplado en el mismo. No podemos ser responsables por cualquier dependencia de las decisiones adoptadas en su contenido sin notificación al respecto.</t>
  </si>
  <si>
    <t>Information required with Order:</t>
  </si>
  <si>
    <t>Informações requeridas para o pedido:</t>
  </si>
  <si>
    <t>Información necesaria para la Orden de Compra:</t>
  </si>
  <si>
    <t>Variantes</t>
  </si>
  <si>
    <t>Número de Orden</t>
  </si>
  <si>
    <t>New function</t>
  </si>
  <si>
    <t>Nova função</t>
  </si>
  <si>
    <t>Nueva función</t>
  </si>
  <si>
    <t>Opcional</t>
  </si>
  <si>
    <t>Time Code Generator</t>
  </si>
  <si>
    <t xml:space="preserve">RJ45 cobre 100BASE-TX para cliente PTP (IEEE 1588) </t>
  </si>
  <si>
    <t>Interface Ethernet</t>
  </si>
  <si>
    <t>Interfaz Ethernet</t>
  </si>
  <si>
    <t>Alimentação</t>
  </si>
  <si>
    <t>Nossa política é de desenvolvimento contínuo. Portanto, o projeto de nossos produtos pode mudar a qualquer momento.</t>
  </si>
  <si>
    <t>40 m (131 ft) TNC Male to BNC Male RGC-58 antenna cable</t>
  </si>
  <si>
    <t>40 m (131 ft) TNC Macho para BNC Macho RGC-58</t>
  </si>
  <si>
    <t>40 m (131 pies) TNC macho a BNC macho RGC-58</t>
  </si>
  <si>
    <t>Initial version</t>
  </si>
  <si>
    <t>No instalado</t>
  </si>
  <si>
    <t>Sem antena</t>
  </si>
  <si>
    <t>Sin antena</t>
  </si>
  <si>
    <t>Sin cable</t>
  </si>
  <si>
    <t>Sin supresor de sobretensión</t>
  </si>
  <si>
    <t>Changed antenna cable length for option 3</t>
  </si>
  <si>
    <t>Alterado comprimento do cabo de antena para a opção 3</t>
  </si>
  <si>
    <t>Cambiado el comprimiento del cable de la antena para opción 3</t>
  </si>
  <si>
    <t>24-48 Vdc</t>
  </si>
  <si>
    <t>24-48 Vcc</t>
  </si>
  <si>
    <t>Changed firmware to version 06 and added 24-48 Vdc power supply option</t>
  </si>
  <si>
    <t>Alterada a versão de firmware para 06 e adicionada a opção de fonte 24-48 Vcc</t>
  </si>
  <si>
    <t>Cambiada la vérsion de firmware para 06 y añadida la opción de alimentación 24-48 Vcc</t>
  </si>
  <si>
    <t>06</t>
  </si>
  <si>
    <t>3.3V TNC Female active GNSS antenna</t>
  </si>
  <si>
    <t>3.3V TNC ativo fêmea antena GNSS</t>
  </si>
  <si>
    <t>3.3 V TNC activo hembra GNSS</t>
  </si>
  <si>
    <t>15 m (50 ft) TNC Male to BNC Male (Attennuation &lt; 0,05 dB/m @ 1500 MHZ)</t>
  </si>
  <si>
    <t>15 m (50 ft) TNC Macho para BNC Macho (Atenuação &lt; 0.05 dB/m @ 1500 MHz)</t>
  </si>
  <si>
    <t>15 m (50 ft) TNC macho a BNC macho (Atenuación &lt; 0.05 dB/m @ 1500 MHz)</t>
  </si>
  <si>
    <t>25 m (82 ft) TNC Male to BNC Male (Attennuation &lt; 0,05 dB/m @ 1500 MHZ)</t>
  </si>
  <si>
    <t>25 m (82 ft) TNC Macho para BNC Macho (Atenuação &lt; 0.05 dB/m @ 1500 MHz)</t>
  </si>
  <si>
    <t>25 m (82 ft) TNC macho a BNC macho (Atenuación &lt; 0.05 dB/m @ 1500 MHz)</t>
  </si>
  <si>
    <t>40 m (131 ft) TNC Male to BNC Male (Attennuation &lt; 0,05 dB/m @ 1500 MHZ)</t>
  </si>
  <si>
    <t>40 m (131 ft) TNC Macho para BNC Macho (Atenuação &lt; 0.05 dB/m @ 1500 MHz)</t>
  </si>
  <si>
    <t>40 m (131 ft) TNC macho a BNC macho (Atenuación &lt; 0.05 dB/m @ 1500 MHz)</t>
  </si>
  <si>
    <t>75 m (246 ft) TNC Male to BNC Male (Attennuation &lt; 0,02 dB/m @ 1500 MHZ)</t>
  </si>
  <si>
    <t>75 m (246 ft) TNC Macho para BNC Macho (Atenuação &lt; 0.02 dB/m @ 1500 MHz)</t>
  </si>
  <si>
    <t>75 m (246 ft) TNC macho a BNC macho (Atenuación &lt; 0.02 dB/m @ 1500 MHz)</t>
  </si>
  <si>
    <t>100 m (328 ft) TNC Male to BNC Male (Attennuation &lt; 0,02 dB/m @ 1500 MHZ)</t>
  </si>
  <si>
    <t>100 m (328 ft) TNC Macho para BNC Macho (Atenuação &lt; 0.02 dB/m @ 1500 MHz)</t>
  </si>
  <si>
    <t>100 m (328 ft) TNC macho a BNC macho (Atenuación &lt; 0.02 dB/m @ 1500 MHz)</t>
  </si>
  <si>
    <t>Latest available firmware</t>
  </si>
  <si>
    <t>Última versão disponível</t>
  </si>
  <si>
    <t>Última versión disponible</t>
  </si>
  <si>
    <t>Legacy firmware</t>
  </si>
  <si>
    <t>Versão de firmware</t>
  </si>
  <si>
    <t>Versión del firmware</t>
  </si>
  <si>
    <t>D</t>
  </si>
  <si>
    <t>Changed antenna and antenna cable description</t>
  </si>
  <si>
    <t>Alteradas as descrições de antena e cabos</t>
  </si>
  <si>
    <t>Cambiadas las descripciones de antenas y cables</t>
  </si>
  <si>
    <t>100-250 Vcc / 110-240 Vca</t>
  </si>
  <si>
    <t>100-250 Vdc / 110-240 Vac</t>
  </si>
  <si>
    <t>Firmware release number</t>
  </si>
  <si>
    <t>Hardware release version</t>
  </si>
  <si>
    <t>Versão de hardware</t>
  </si>
  <si>
    <t>Versión de firmware</t>
  </si>
  <si>
    <t>Versión de hardware</t>
  </si>
  <si>
    <t>Alterada a versão de hardware devido a mudanças na isolação das portas elétricas</t>
  </si>
  <si>
    <t>Changed hardware release version due to changes on electrical ports isolation</t>
  </si>
  <si>
    <t>Cambiada la versión de hardware debido a alteraciones en el aislamento de las puertas eléctricas</t>
  </si>
  <si>
    <t>E</t>
  </si>
  <si>
    <t>Nova versão de firmware</t>
  </si>
  <si>
    <t>New firmware release</t>
  </si>
  <si>
    <t>Nueva versión de firmware</t>
  </si>
  <si>
    <t>07</t>
  </si>
  <si>
    <t>F</t>
  </si>
  <si>
    <t>GE branding</t>
  </si>
  <si>
    <t>Marca GE</t>
  </si>
  <si>
    <t>Changed branding to GE</t>
  </si>
  <si>
    <t>Alterada a marca para GE</t>
  </si>
  <si>
    <t>Cambiada la marca para GE</t>
  </si>
  <si>
    <t>G</t>
  </si>
  <si>
    <t>15 m (50 ft) TNC Male to BNC Male (Attennuation &lt; 0.5 dB/m @ 1500 MHZ)</t>
  </si>
  <si>
    <t>15 m (50 ft) TNC Macho para BNC Macho (Atenuação &lt; 0,5 dB/m @ 1500 MHz)</t>
  </si>
  <si>
    <t>15 m (50 ft) TNC macho a BNC macho (Atenuación &lt; 0,5 dB/m @ 1500 MHz)</t>
  </si>
  <si>
    <t>25 m (82 ft) TNC Male to BNC Male (Attennuation &lt; 0.5 dB/m @ 1500 MHZ)</t>
  </si>
  <si>
    <t>25 m (82 ft) TNC Macho para BNC Macho (Atenuação &lt; 0,5 dB/m @ 1500 MHz)</t>
  </si>
  <si>
    <t>25 m (82 ft) TNC macho a BNC macho (Atenuación &lt; 0,5 dB/m @ 1500 MHz)</t>
  </si>
  <si>
    <t>40 m (131 ft) TNC Male to BNC Male (Attennuation &lt; 0.5 dB/m @ 1500 MHZ)</t>
  </si>
  <si>
    <t>40 m (131 ft) TNC Macho para BNC Macho (Atenuação &lt; 0,5 dB/m @ 1500 MHz)</t>
  </si>
  <si>
    <t>40 m (131 ft) TNC macho a BNC macho (Atenuación &lt; 0,5 dB/m @ 1500 MHz)</t>
  </si>
  <si>
    <t>75 m (246 ft) TNC Male to BNC Male (Attennuation &lt; 0.2 dB/m @ 1500 MHZ)</t>
  </si>
  <si>
    <t>75 m (246 ft) TNC Macho para BNC Macho (Atenuação &lt; 0,2 dB/m @ 1500 MHz)</t>
  </si>
  <si>
    <t>75 m (246 ft) TNC macho a BNC macho (Atenuación &lt; 0,2 dB/m @ 1500 MHz)</t>
  </si>
  <si>
    <t>100 m (328 ft) TNC Male to BNC Male (Attennuation &lt; 0.2 dB/m @ 1500 MHZ)</t>
  </si>
  <si>
    <t>100 m (328 ft) TNC Macho para BNC Macho (Atenuação &lt; 0,2 dB/m @ 1500 MHz)</t>
  </si>
  <si>
    <t>100 m (328 ft) TNC macho a BNC macho (Atenuación &lt; 0,2 dB/m @ 1500 MHz)</t>
  </si>
  <si>
    <t>Cables attenuation fixed</t>
  </si>
  <si>
    <t>Corrigido atenuação dos cabos</t>
  </si>
  <si>
    <t>Corrección em la atenuación de los cabos</t>
  </si>
  <si>
    <t>H</t>
  </si>
  <si>
    <t>Added firmware version 08</t>
  </si>
  <si>
    <t>Adicionada a versão de firmware 08</t>
  </si>
  <si>
    <t>Añadida la vérsion de firmware 08</t>
  </si>
  <si>
    <t>08</t>
  </si>
  <si>
    <t>Firmware version number</t>
  </si>
  <si>
    <t>Número da versão do firmware</t>
  </si>
  <si>
    <t>Número de versión del firmware</t>
  </si>
  <si>
    <t>I</t>
  </si>
  <si>
    <t>150 m (492 ft) TNC Male to BNC Male (Attennuation &lt; 0.2 dB/m @ 1500 MHZ)</t>
  </si>
  <si>
    <t>150 m (492 ft) TNC Macho para BNC Macho (Atenuação &lt; 0,2 dB/m @ 1500 MHz)</t>
  </si>
  <si>
    <t>150 m (492 ft) TNC macho a BNC macho (Atenuación &lt; 0,2 dB/m @ 1500 MHz)</t>
  </si>
  <si>
    <t>GPS Precision-Time Clock</t>
  </si>
  <si>
    <t>Name updated to "GPS Precision-Time Clock" 
Added 150 m cable option</t>
  </si>
  <si>
    <t>Nome atualizado para "GPS Precision-Time Clock"
Adicionado opção de cabo de 150 m</t>
  </si>
  <si>
    <t>Nombre actualizado a "GPS Precision-Time Clock"
Añadida la opción de cable de 150 m</t>
  </si>
  <si>
    <t>J</t>
  </si>
  <si>
    <t>(withdraw)</t>
  </si>
  <si>
    <t>(obsoleto)</t>
  </si>
  <si>
    <t>K</t>
  </si>
  <si>
    <t>Q020</t>
  </si>
  <si>
    <t>Q002</t>
  </si>
  <si>
    <t>Q003</t>
  </si>
  <si>
    <t>Q005</t>
  </si>
  <si>
    <t>Q010</t>
  </si>
  <si>
    <t>Q065</t>
  </si>
  <si>
    <t>Accessories</t>
  </si>
  <si>
    <t>Acessórios</t>
  </si>
  <si>
    <t>Accesorios</t>
  </si>
  <si>
    <t>Code</t>
  </si>
  <si>
    <t>Código</t>
  </si>
  <si>
    <t>Description</t>
  </si>
  <si>
    <t>Descrição</t>
  </si>
  <si>
    <t>Descripción</t>
  </si>
  <si>
    <t>Wall kit mounting for GNSS Antenna (Q020)</t>
  </si>
  <si>
    <t>Kit de montagem de parede para antena GNSS (Q020)</t>
  </si>
  <si>
    <t>Kit de montaje de pared para antena GNSS (Q020)</t>
  </si>
  <si>
    <t>Accessories tab added and firmware version 07 withdraw</t>
  </si>
  <si>
    <t>Aba de acessórios adicionada e versão de firmware 07 obsoleta</t>
  </si>
  <si>
    <t>Acrescentada tabla de accesorios y versión de firmware 07 obsoleta</t>
  </si>
  <si>
    <t>L</t>
  </si>
  <si>
    <t>24-48 Vdc low voltage power supply discontinued. Refer to End-of-Manufacturing notice GER-4900 and CID006765.</t>
  </si>
  <si>
    <t>Fonte de baixa tensão 24-48 Vdc descontinuada. Consulte o aviso de fim de fabricação  GER-4900 e CID006765.</t>
  </si>
  <si>
    <t>Fuente de bajo voltaje 24-48 Vcc descontinuada. Consulte el aviso de fin de fabricación GER-4900 y CID006765.</t>
  </si>
  <si>
    <t>End-of-manufacturing of antenna cable options 15m (50ft), 75m (246ft), 150m (492ft) as per  GER-4938 notice</t>
  </si>
  <si>
    <t>Fim da fabricação das opções de cabo de antena de 15m, 75m, 150m conforme aviso GER-4938</t>
  </si>
  <si>
    <t>Fin de fabricación de opciones de cable de antena de 15m, 75m, 150m según aviso GER-4938</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</si>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</sst>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indexed="8"/>
      <name val="Arial"/>
      <family val="2"/>
    </font>
    <font>
      <sz val="10"/>
      <name val="Arial"/>
      <family val="2"/>
    </font>
    <font>
      <sz val="11"/>
      <name val="Arial"/>
      <family val="2"/>
    </font>
    <font>
      <sz val="9"/>
      <name val="Arial"/>
      <family val="2"/>
    </font>
    <font>
      <b/>
      <sz val="10"/>
      <name val="Arial"/>
      <family val="2"/>
    </font>
    <font>
      <sz val="10"/>
      <color indexed="9"/>
      <name val="Arial"/>
      <family val="2"/>
    </font>
    <font>
      <sz val="11"/>
      <color indexed="8"/>
      <name val="Arial"/>
      <family val="2"/>
    </font>
    <font>
      <sz val="9"/>
      <color indexed="8"/>
      <name val="Arial"/>
      <family val="2"/>
    </font>
    <font>
      <b/>
      <sz val="9"/>
      <color indexed="10"/>
      <name val="Arial"/>
      <family val="2"/>
    </font>
    <font>
      <b/>
      <sz val="9"/>
      <color indexed="8"/>
      <name val="Arial"/>
      <family val="2"/>
    </font>
    <font>
      <sz val="11"/>
      <color indexed="30"/>
      <name val="Arial"/>
      <family val="2"/>
    </font>
    <font>
      <b/>
      <sz val="14"/>
      <color indexed="10"/>
      <name val="Arial"/>
      <family val="2"/>
    </font>
    <font>
      <sz val="12"/>
      <color indexed="8"/>
      <name val="Arial"/>
      <family val="2"/>
    </font>
    <font>
      <b/>
      <sz val="14"/>
      <color indexed="8"/>
      <name val="Arial"/>
      <family val="2"/>
    </font>
    <font>
      <sz val="14"/>
      <color indexed="8"/>
      <name val="Arial"/>
      <family val="2"/>
    </font>
    <font>
      <b/>
      <sz val="11"/>
      <color indexed="8"/>
      <name val="Arial"/>
      <family val="2"/>
    </font>
    <font>
      <sz val="11"/>
      <color indexed="10"/>
      <name val="Arial"/>
      <family val="2"/>
    </font>
    <font>
      <b/>
      <sz val="12"/>
      <color indexed="10"/>
      <name val="Arial"/>
      <family val="2"/>
    </font>
    <font>
      <sz val="8"/>
      <name val="Calibri"/>
      <family val="2"/>
    </font>
    <font>
      <b/>
      <sz val="12"/>
      <color indexed="12"/>
      <name val="Arial"/>
      <family val="2"/>
    </font>
    <font>
      <b/>
      <sz val="11"/>
      <name val="Arial"/>
      <family val="2"/>
    </font>
    <font>
      <sz val="11"/>
      <color rgb="FFFF0000"/>
      <name val="Arial"/>
      <family val="2"/>
    </font>
    <font>
      <sz val="9"/>
      <color theme="1"/>
      <name val="Arial"/>
      <family val="2"/>
    </font>
    <font>
      <b/>
      <sz val="11"/>
      <color indexed="9"/>
      <name val="Arial"/>
      <family val="2"/>
    </font>
    <font>
      <sz val="11"/>
      <color indexed="9"/>
      <name val="Arial"/>
      <family val="2"/>
    </font>
    <font>
      <sz val="11"/>
      <color theme="0"/>
      <name val="Arial"/>
      <family val="2"/>
    </font>
    <font>
      <sz val="11"/>
      <color theme="1"/>
      <name val="Arial"/>
      <family val="2"/>
    </font>
  </fonts>
  <fills count="16">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indexed="23"/>
        <bgColor indexed="64"/>
      </patternFill>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rgb="FF969696"/>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35">
    <border>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ck">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s>
  <cellStyleXfs count="4">
    <xf numFmtId="0" fontId="0" fillId="0" borderId="0"/>
    <xf numFmtId="0" fontId="2" fillId="0" borderId="0"/>
    <xf numFmtId="0" fontId="2" fillId="0" borderId="0"/>
    <xf numFmtId="0" fontId="3" fillId="0" borderId="0"/>
  </cellStyleXfs>
  <cellXfs count="242">
    <xf numFmtId="0" fontId="0" fillId="0" borderId="0" xfId="0"/>
    <xf numFmtId="0" fontId="3" fillId="0" borderId="0" xfId="3"/>
    <xf numFmtId="0" fontId="7" fillId="0" borderId="0" xfId="0" applyFont="1"/>
    <xf numFmtId="0" fontId="8" fillId="0" borderId="0" xfId="0" applyFont="1"/>
    <xf numFmtId="14" fontId="9" fillId="0" borderId="1" xfId="0" applyNumberFormat="1" applyFont="1" applyBorder="1" applyAlignment="1">
      <alignment horizontal="center" vertical="center"/>
    </xf>
    <xf numFmtId="14" fontId="8" fillId="0" borderId="2" xfId="0" applyNumberFormat="1" applyFont="1" applyBorder="1" applyAlignment="1">
      <alignment horizontal="center" vertical="center"/>
    </xf>
    <xf numFmtId="0" fontId="10" fillId="0" borderId="3" xfId="0" applyFont="1" applyBorder="1"/>
    <xf numFmtId="0" fontId="8" fillId="0" borderId="4"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0" fillId="0" borderId="5" xfId="0" applyFont="1" applyBorder="1"/>
    <xf numFmtId="0" fontId="4" fillId="0" borderId="6" xfId="0" applyNumberFormat="1" applyFont="1" applyBorder="1" applyAlignment="1">
      <alignment horizontal="center" vertical="center"/>
    </xf>
    <xf numFmtId="0" fontId="4" fillId="0" borderId="7" xfId="0" applyNumberFormat="1" applyFont="1" applyBorder="1" applyAlignment="1">
      <alignment horizontal="center" vertical="center"/>
    </xf>
    <xf numFmtId="0" fontId="8" fillId="0" borderId="0" xfId="0" applyFont="1" applyAlignment="1">
      <alignment horizontal="center"/>
    </xf>
    <xf numFmtId="0" fontId="8" fillId="0" borderId="6" xfId="0" applyFont="1" applyBorder="1" applyAlignment="1">
      <alignment horizontal="center" vertical="center"/>
    </xf>
    <xf numFmtId="0" fontId="8" fillId="0" borderId="6" xfId="0" applyFont="1" applyBorder="1" applyAlignment="1">
      <alignment horizontal="center"/>
    </xf>
    <xf numFmtId="0" fontId="8" fillId="0" borderId="7"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center"/>
    </xf>
    <xf numFmtId="0" fontId="8" fillId="0" borderId="0" xfId="0" applyFont="1" applyAlignment="1">
      <alignment horizontal="center" vertical="center"/>
    </xf>
    <xf numFmtId="0" fontId="10" fillId="0" borderId="8" xfId="0" applyFont="1" applyBorder="1"/>
    <xf numFmtId="0" fontId="8" fillId="0" borderId="9" xfId="0" applyFont="1" applyBorder="1" applyAlignment="1">
      <alignment horizontal="center"/>
    </xf>
    <xf numFmtId="0" fontId="8" fillId="0" borderId="6" xfId="0" applyFont="1" applyBorder="1"/>
    <xf numFmtId="0" fontId="8" fillId="0" borderId="7" xfId="0" applyFont="1" applyBorder="1"/>
    <xf numFmtId="0" fontId="8" fillId="0" borderId="9" xfId="0" applyFont="1" applyBorder="1"/>
    <xf numFmtId="0" fontId="10" fillId="0" borderId="0" xfId="0" applyFont="1" applyBorder="1"/>
    <xf numFmtId="0" fontId="8" fillId="2" borderId="8" xfId="0" applyFont="1" applyFill="1" applyBorder="1" applyAlignment="1">
      <alignment horizontal="center"/>
    </xf>
    <xf numFmtId="0" fontId="8" fillId="0" borderId="10" xfId="0" applyFont="1" applyBorder="1" applyAlignment="1">
      <alignment horizontal="center"/>
    </xf>
    <xf numFmtId="0" fontId="8" fillId="2" borderId="6" xfId="0" applyFont="1" applyFill="1" applyBorder="1" applyAlignment="1">
      <alignment horizontal="center"/>
    </xf>
    <xf numFmtId="0" fontId="8" fillId="0" borderId="5" xfId="0" applyFont="1" applyBorder="1"/>
    <xf numFmtId="0" fontId="8" fillId="0" borderId="11" xfId="0" applyFont="1" applyBorder="1"/>
    <xf numFmtId="0" fontId="9" fillId="0" borderId="0" xfId="0" applyFont="1"/>
    <xf numFmtId="14" fontId="9" fillId="0" borderId="3" xfId="0" applyNumberFormat="1" applyFont="1" applyBorder="1" applyAlignment="1">
      <alignment horizontal="left"/>
    </xf>
    <xf numFmtId="0" fontId="7" fillId="0" borderId="0" xfId="0" applyFont="1" applyAlignment="1">
      <alignment horizontal="center" vertical="center"/>
    </xf>
    <xf numFmtId="0" fontId="12" fillId="0" borderId="8" xfId="0" applyFont="1" applyBorder="1" applyAlignment="1">
      <alignment horizontal="center" vertical="center"/>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12" fillId="0" borderId="6" xfId="0" applyFont="1" applyBorder="1" applyAlignment="1">
      <alignment horizontal="center" vertical="center"/>
    </xf>
    <xf numFmtId="0" fontId="7" fillId="3" borderId="3" xfId="0" applyFont="1" applyFill="1" applyBorder="1" applyAlignment="1">
      <alignment horizontal="center" vertical="center"/>
    </xf>
    <xf numFmtId="0" fontId="7" fillId="4"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5" xfId="0" applyFont="1" applyFill="1" applyBorder="1" applyAlignment="1">
      <alignment horizontal="center" vertical="center"/>
    </xf>
    <xf numFmtId="0" fontId="13" fillId="0" borderId="0" xfId="0" applyFont="1"/>
    <xf numFmtId="0" fontId="14" fillId="0" borderId="8" xfId="0" applyFont="1" applyBorder="1"/>
    <xf numFmtId="0" fontId="7" fillId="0" borderId="12" xfId="0" applyFont="1" applyBorder="1"/>
    <xf numFmtId="0" fontId="15" fillId="0" borderId="12" xfId="0" applyFont="1" applyBorder="1"/>
    <xf numFmtId="0" fontId="15" fillId="0" borderId="4" xfId="0" applyFont="1" applyBorder="1"/>
    <xf numFmtId="0" fontId="8" fillId="0" borderId="7" xfId="0" applyFont="1" applyBorder="1" applyAlignment="1">
      <alignment horizontal="center" vertical="center"/>
    </xf>
    <xf numFmtId="0" fontId="16" fillId="0" borderId="11" xfId="0" applyFont="1" applyBorder="1"/>
    <xf numFmtId="0" fontId="7" fillId="0" borderId="0" xfId="0" applyFont="1" applyBorder="1"/>
    <xf numFmtId="0" fontId="17" fillId="0" borderId="11" xfId="0" applyFont="1" applyBorder="1"/>
    <xf numFmtId="0" fontId="18" fillId="0" borderId="13" xfId="0" applyFont="1" applyBorder="1"/>
    <xf numFmtId="0" fontId="18" fillId="0" borderId="12" xfId="0" applyFont="1" applyBorder="1"/>
    <xf numFmtId="0" fontId="2" fillId="0" borderId="14" xfId="2" applyBorder="1"/>
    <xf numFmtId="0" fontId="2" fillId="0" borderId="0" xfId="2" applyBorder="1"/>
    <xf numFmtId="0" fontId="2" fillId="0" borderId="14" xfId="2" applyBorder="1" applyAlignment="1">
      <alignment horizontal="center"/>
    </xf>
    <xf numFmtId="0" fontId="5" fillId="0" borderId="8" xfId="2" applyFont="1" applyBorder="1" applyAlignment="1">
      <alignment horizontal="center"/>
    </xf>
    <xf numFmtId="0" fontId="7" fillId="0" borderId="15" xfId="0" applyFont="1" applyBorder="1"/>
    <xf numFmtId="0" fontId="7" fillId="0" borderId="16" xfId="0" applyFont="1" applyBorder="1"/>
    <xf numFmtId="0" fontId="7" fillId="0" borderId="17" xfId="0" applyFont="1" applyBorder="1"/>
    <xf numFmtId="0" fontId="20" fillId="0" borderId="18" xfId="0" applyFont="1" applyBorder="1"/>
    <xf numFmtId="0" fontId="9" fillId="0" borderId="0" xfId="0" applyFont="1" applyBorder="1"/>
    <xf numFmtId="0" fontId="8" fillId="0" borderId="8" xfId="0" quotePrefix="1" applyFont="1" applyBorder="1" applyAlignment="1">
      <alignment horizontal="center"/>
    </xf>
    <xf numFmtId="0" fontId="1" fillId="0" borderId="8" xfId="0" applyFont="1" applyBorder="1" applyAlignment="1">
      <alignment horizontal="center"/>
    </xf>
    <xf numFmtId="0" fontId="2" fillId="0" borderId="0" xfId="2" applyBorder="1" applyAlignment="1">
      <alignment horizontal="center"/>
    </xf>
    <xf numFmtId="0" fontId="2" fillId="0" borderId="0" xfId="2"/>
    <xf numFmtId="0" fontId="6" fillId="5" borderId="5" xfId="2" applyFont="1" applyFill="1" applyBorder="1"/>
    <xf numFmtId="0" fontId="2" fillId="0" borderId="5" xfId="2" applyFont="1" applyBorder="1"/>
    <xf numFmtId="0" fontId="2" fillId="0" borderId="3" xfId="2" applyFont="1" applyBorder="1"/>
    <xf numFmtId="0" fontId="2" fillId="0" borderId="3" xfId="2" applyFont="1" applyBorder="1" applyAlignment="1">
      <alignment horizontal="right"/>
    </xf>
    <xf numFmtId="0" fontId="2" fillId="0" borderId="8" xfId="2" quotePrefix="1" applyFont="1" applyBorder="1" applyAlignment="1">
      <alignment horizontal="center"/>
    </xf>
    <xf numFmtId="0" fontId="2" fillId="0" borderId="8" xfId="2" applyBorder="1" applyAlignment="1">
      <alignment horizontal="center"/>
    </xf>
    <xf numFmtId="0" fontId="2" fillId="0" borderId="8" xfId="2" quotePrefix="1" applyBorder="1" applyAlignment="1">
      <alignment horizontal="center"/>
    </xf>
    <xf numFmtId="0" fontId="5" fillId="0" borderId="11" xfId="2" applyFont="1" applyBorder="1"/>
    <xf numFmtId="0" fontId="2" fillId="6" borderId="0" xfId="2" applyFill="1" applyBorder="1" applyAlignment="1">
      <alignment horizontal="center"/>
    </xf>
    <xf numFmtId="0" fontId="2" fillId="3" borderId="0" xfId="2" applyFill="1" applyBorder="1" applyAlignment="1">
      <alignment horizontal="center"/>
    </xf>
    <xf numFmtId="0" fontId="2" fillId="4" borderId="0" xfId="2" applyFill="1" applyBorder="1" applyAlignment="1">
      <alignment horizontal="center"/>
    </xf>
    <xf numFmtId="0" fontId="2" fillId="8" borderId="0" xfId="2" applyFill="1" applyBorder="1" applyAlignment="1">
      <alignment horizontal="center"/>
    </xf>
    <xf numFmtId="0" fontId="2" fillId="0" borderId="11" xfId="2" applyFont="1" applyBorder="1"/>
    <xf numFmtId="0" fontId="2" fillId="0" borderId="0" xfId="2" applyFont="1" applyBorder="1"/>
    <xf numFmtId="0" fontId="2" fillId="0" borderId="8" xfId="2" applyFont="1" applyBorder="1" applyAlignment="1">
      <alignment horizontal="center"/>
    </xf>
    <xf numFmtId="0" fontId="2" fillId="0" borderId="0" xfId="2" applyFont="1"/>
    <xf numFmtId="0" fontId="2" fillId="0" borderId="19" xfId="2" applyFont="1" applyBorder="1"/>
    <xf numFmtId="0" fontId="2" fillId="0" borderId="20" xfId="2" applyFont="1" applyBorder="1"/>
    <xf numFmtId="0" fontId="2" fillId="0" borderId="20" xfId="2" applyFont="1" applyBorder="1" applyAlignment="1">
      <alignment horizontal="center"/>
    </xf>
    <xf numFmtId="0" fontId="2" fillId="0" borderId="0" xfId="2" applyFont="1" applyBorder="1" applyAlignment="1">
      <alignment horizontal="center"/>
    </xf>
    <xf numFmtId="0" fontId="2" fillId="0" borderId="8" xfId="2" applyFont="1" applyFill="1" applyBorder="1" applyAlignment="1">
      <alignment horizontal="center"/>
    </xf>
    <xf numFmtId="0" fontId="2" fillId="0" borderId="20" xfId="2" applyFont="1" applyFill="1" applyBorder="1" applyAlignment="1">
      <alignment horizontal="center"/>
    </xf>
    <xf numFmtId="0" fontId="2" fillId="0" borderId="0" xfId="2" applyFont="1" applyFill="1" applyBorder="1" applyAlignment="1">
      <alignment horizontal="center"/>
    </xf>
    <xf numFmtId="0" fontId="2" fillId="0" borderId="20" xfId="2" applyBorder="1"/>
    <xf numFmtId="0" fontId="2" fillId="0" borderId="0" xfId="2" applyAlignment="1">
      <alignment horizontal="center"/>
    </xf>
    <xf numFmtId="0" fontId="9" fillId="0" borderId="0" xfId="0" applyFont="1" applyAlignment="1">
      <alignment horizontal="center"/>
    </xf>
    <xf numFmtId="0" fontId="10" fillId="0" borderId="0" xfId="0" applyFont="1" applyBorder="1" applyAlignment="1">
      <alignment horizontal="center"/>
    </xf>
    <xf numFmtId="0" fontId="10" fillId="2" borderId="8" xfId="0" applyFont="1" applyFill="1" applyBorder="1" applyAlignment="1">
      <alignment horizontal="center"/>
    </xf>
    <xf numFmtId="0" fontId="10" fillId="2" borderId="6" xfId="0" applyFont="1" applyFill="1" applyBorder="1" applyAlignment="1">
      <alignment horizontal="center"/>
    </xf>
    <xf numFmtId="0" fontId="8" fillId="0" borderId="19" xfId="0" applyFont="1" applyBorder="1"/>
    <xf numFmtId="0" fontId="14" fillId="0" borderId="21" xfId="0" applyFont="1" applyBorder="1"/>
    <xf numFmtId="0" fontId="7" fillId="0" borderId="22" xfId="0" applyFont="1" applyBorder="1"/>
    <xf numFmtId="0" fontId="7" fillId="0" borderId="22" xfId="0" applyFont="1" applyBorder="1" applyAlignment="1">
      <alignment horizontal="center" vertical="center"/>
    </xf>
    <xf numFmtId="0" fontId="7" fillId="0" borderId="23" xfId="0" applyFont="1" applyBorder="1"/>
    <xf numFmtId="0" fontId="13" fillId="0" borderId="23" xfId="0" applyFont="1" applyBorder="1"/>
    <xf numFmtId="0" fontId="7" fillId="0" borderId="14" xfId="0" applyFont="1" applyBorder="1"/>
    <xf numFmtId="0" fontId="11" fillId="0" borderId="0" xfId="0" applyFont="1" applyBorder="1"/>
    <xf numFmtId="0" fontId="7" fillId="3" borderId="0" xfId="0" applyFont="1" applyFill="1" applyBorder="1" applyAlignment="1">
      <alignment horizontal="center" vertical="center"/>
    </xf>
    <xf numFmtId="0" fontId="20" fillId="0" borderId="14" xfId="0" applyFont="1" applyBorder="1" applyAlignment="1">
      <alignment vertical="center"/>
    </xf>
    <xf numFmtId="0" fontId="20" fillId="0" borderId="18" xfId="0" applyFont="1" applyBorder="1" applyAlignment="1">
      <alignment vertical="center"/>
    </xf>
    <xf numFmtId="0" fontId="7" fillId="0" borderId="0" xfId="0" applyFont="1" applyBorder="1" applyAlignment="1">
      <alignment vertical="center"/>
    </xf>
    <xf numFmtId="0" fontId="22" fillId="0" borderId="11" xfId="0" applyFont="1" applyBorder="1"/>
    <xf numFmtId="0" fontId="21" fillId="0" borderId="11" xfId="0" applyFont="1" applyBorder="1"/>
    <xf numFmtId="0" fontId="2" fillId="0" borderId="20" xfId="2" applyBorder="1" applyAlignment="1">
      <alignment horizontal="center"/>
    </xf>
    <xf numFmtId="0" fontId="8" fillId="0" borderId="6" xfId="0" quotePrefix="1" applyFont="1" applyBorder="1" applyAlignment="1">
      <alignment horizontal="center" vertical="center"/>
    </xf>
    <xf numFmtId="0" fontId="8" fillId="0" borderId="9" xfId="0" applyFont="1" applyBorder="1" applyAlignment="1">
      <alignment horizontal="center" vertical="center"/>
    </xf>
    <xf numFmtId="0" fontId="2" fillId="0" borderId="10" xfId="2" applyBorder="1" applyAlignment="1">
      <alignment horizont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5" fillId="0" borderId="6" xfId="0" applyFont="1" applyFill="1" applyBorder="1"/>
    <xf numFmtId="0" fontId="2" fillId="0" borderId="0" xfId="2" applyFont="1" applyFill="1" applyBorder="1"/>
    <xf numFmtId="0" fontId="2" fillId="0" borderId="11" xfId="2" applyFont="1" applyFill="1" applyBorder="1"/>
    <xf numFmtId="0" fontId="2" fillId="0" borderId="19" xfId="2" applyFont="1" applyFill="1" applyBorder="1"/>
    <xf numFmtId="0" fontId="2" fillId="0" borderId="20" xfId="2" applyFont="1" applyFill="1" applyBorder="1"/>
    <xf numFmtId="0" fontId="2" fillId="0" borderId="3" xfId="2" applyFont="1" applyFill="1" applyBorder="1"/>
    <xf numFmtId="0" fontId="8" fillId="0" borderId="0" xfId="0" applyFont="1" applyBorder="1"/>
    <xf numFmtId="0" fontId="1" fillId="0" borderId="8" xfId="0" quotePrefix="1" applyFont="1" applyBorder="1" applyAlignment="1">
      <alignment horizontal="center"/>
    </xf>
    <xf numFmtId="0" fontId="18" fillId="0" borderId="0" xfId="0" applyFont="1" applyBorder="1"/>
    <xf numFmtId="0" fontId="2" fillId="0" borderId="0" xfId="2" applyFont="1" applyBorder="1" applyAlignment="1"/>
    <xf numFmtId="16" fontId="7" fillId="0" borderId="0" xfId="0" applyNumberFormat="1" applyFont="1" applyBorder="1"/>
    <xf numFmtId="0" fontId="18" fillId="0" borderId="24" xfId="0" applyFont="1" applyBorder="1"/>
    <xf numFmtId="0" fontId="2" fillId="0" borderId="15" xfId="2" applyBorder="1"/>
    <xf numFmtId="16" fontId="2" fillId="0" borderId="8" xfId="2" quotePrefix="1" applyNumberFormat="1" applyFont="1" applyBorder="1" applyAlignment="1">
      <alignment horizontal="center"/>
    </xf>
    <xf numFmtId="0" fontId="2" fillId="9" borderId="1" xfId="2" applyFill="1" applyBorder="1" applyAlignment="1">
      <alignment horizontal="center"/>
    </xf>
    <xf numFmtId="0" fontId="6" fillId="0" borderId="7" xfId="2" applyFont="1" applyFill="1" applyBorder="1" applyAlignment="1">
      <alignment horizontal="center" vertical="center"/>
    </xf>
    <xf numFmtId="0" fontId="2" fillId="0" borderId="7" xfId="2" applyFont="1" applyFill="1" applyBorder="1" applyAlignment="1">
      <alignment horizontal="center"/>
    </xf>
    <xf numFmtId="0" fontId="2" fillId="0" borderId="7" xfId="2" applyFont="1" applyBorder="1" applyAlignment="1">
      <alignment horizontal="center"/>
    </xf>
    <xf numFmtId="0" fontId="2" fillId="0" borderId="7" xfId="2" applyFill="1" applyBorder="1" applyAlignment="1">
      <alignment horizontal="center"/>
    </xf>
    <xf numFmtId="0" fontId="2" fillId="10" borderId="0" xfId="2" applyFill="1" applyBorder="1" applyAlignment="1">
      <alignment horizontal="center"/>
    </xf>
    <xf numFmtId="0" fontId="2" fillId="0" borderId="1" xfId="2" applyFont="1" applyFill="1" applyBorder="1" applyAlignment="1">
      <alignment horizontal="center"/>
    </xf>
    <xf numFmtId="0" fontId="2" fillId="0" borderId="13" xfId="2" applyFont="1" applyBorder="1"/>
    <xf numFmtId="0" fontId="2" fillId="0" borderId="12" xfId="2" applyBorder="1"/>
    <xf numFmtId="0" fontId="2" fillId="0" borderId="12" xfId="2" applyBorder="1" applyAlignment="1">
      <alignment horizontal="center"/>
    </xf>
    <xf numFmtId="0" fontId="2" fillId="0" borderId="3" xfId="2" applyBorder="1" applyAlignment="1">
      <alignment horizontal="center"/>
    </xf>
    <xf numFmtId="0" fontId="2" fillId="0" borderId="19" xfId="2" applyBorder="1"/>
    <xf numFmtId="0" fontId="2" fillId="0" borderId="11" xfId="2" applyBorder="1"/>
    <xf numFmtId="0" fontId="5" fillId="0" borderId="6" xfId="2" applyFont="1" applyBorder="1"/>
    <xf numFmtId="0" fontId="2" fillId="0" borderId="6" xfId="2" applyFont="1" applyBorder="1" applyAlignment="1">
      <alignment horizontal="center"/>
    </xf>
    <xf numFmtId="0" fontId="8" fillId="0" borderId="1" xfId="0" applyFont="1" applyBorder="1"/>
    <xf numFmtId="0" fontId="5" fillId="0" borderId="5" xfId="2" applyFont="1" applyBorder="1"/>
    <xf numFmtId="0" fontId="2" fillId="0" borderId="7" xfId="2" applyBorder="1" applyAlignment="1">
      <alignment horizontal="center"/>
    </xf>
    <xf numFmtId="0" fontId="7" fillId="11" borderId="9" xfId="0" applyFont="1" applyFill="1" applyBorder="1" applyAlignment="1">
      <alignment horizontal="center" vertical="center"/>
    </xf>
    <xf numFmtId="0" fontId="7" fillId="11"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10" borderId="11" xfId="0" applyFont="1" applyFill="1" applyBorder="1" applyAlignment="1">
      <alignment horizontal="center" vertical="center"/>
    </xf>
    <xf numFmtId="0" fontId="7" fillId="11" borderId="10" xfId="0" applyFont="1" applyFill="1" applyBorder="1" applyAlignment="1">
      <alignment horizontal="center" vertical="center"/>
    </xf>
    <xf numFmtId="0" fontId="7" fillId="11" borderId="3" xfId="0" applyFont="1" applyFill="1" applyBorder="1" applyAlignment="1">
      <alignment horizontal="center" vertical="center"/>
    </xf>
    <xf numFmtId="0" fontId="7" fillId="11" borderId="20" xfId="0" applyFont="1" applyFill="1" applyBorder="1" applyAlignment="1">
      <alignment horizontal="center" vertical="center"/>
    </xf>
    <xf numFmtId="0" fontId="7" fillId="11"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5" xfId="0" applyFont="1" applyFill="1" applyBorder="1" applyAlignment="1">
      <alignment horizontal="center" vertical="center"/>
    </xf>
    <xf numFmtId="0" fontId="7" fillId="12" borderId="3" xfId="0" applyFont="1" applyFill="1" applyBorder="1" applyAlignment="1">
      <alignment horizontal="center" vertical="center"/>
    </xf>
    <xf numFmtId="0" fontId="7" fillId="12" borderId="5" xfId="0" applyFont="1" applyFill="1" applyBorder="1" applyAlignment="1">
      <alignment horizontal="center" vertical="center"/>
    </xf>
    <xf numFmtId="0" fontId="7" fillId="9" borderId="1" xfId="0" applyFont="1" applyFill="1" applyBorder="1"/>
    <xf numFmtId="0" fontId="7" fillId="10" borderId="0" xfId="0" applyFont="1" applyFill="1" applyBorder="1" applyAlignment="1">
      <alignment horizontal="center" vertical="center"/>
    </xf>
    <xf numFmtId="0" fontId="7" fillId="12" borderId="0" xfId="0" applyFont="1" applyFill="1" applyBorder="1" applyAlignment="1">
      <alignment horizontal="center" vertical="center"/>
    </xf>
    <xf numFmtId="0" fontId="7" fillId="9" borderId="0" xfId="0" applyFont="1" applyFill="1" applyBorder="1" applyAlignment="1">
      <alignment horizontal="center" vertical="center"/>
    </xf>
    <xf numFmtId="0" fontId="7" fillId="9" borderId="0" xfId="0" applyFont="1" applyFill="1" applyBorder="1"/>
    <xf numFmtId="0" fontId="7" fillId="9" borderId="20" xfId="0" applyFont="1" applyFill="1" applyBorder="1" applyAlignment="1">
      <alignment horizontal="center" vertical="center"/>
    </xf>
    <xf numFmtId="0" fontId="7" fillId="9" borderId="20" xfId="0" applyFont="1" applyFill="1" applyBorder="1"/>
    <xf numFmtId="0" fontId="7" fillId="9" borderId="10" xfId="0" applyFont="1" applyFill="1" applyBorder="1"/>
    <xf numFmtId="0" fontId="7" fillId="12" borderId="1" xfId="0" applyFont="1" applyFill="1" applyBorder="1"/>
    <xf numFmtId="0" fontId="7" fillId="12" borderId="20" xfId="0" applyFont="1" applyFill="1" applyBorder="1" applyAlignment="1">
      <alignment horizontal="center" vertical="center"/>
    </xf>
    <xf numFmtId="0" fontId="7" fillId="12" borderId="20" xfId="0" applyFont="1" applyFill="1" applyBorder="1"/>
    <xf numFmtId="0" fontId="7" fillId="12" borderId="10" xfId="0" applyFont="1" applyFill="1" applyBorder="1"/>
    <xf numFmtId="0" fontId="7" fillId="10" borderId="1" xfId="0" applyFont="1" applyFill="1" applyBorder="1"/>
    <xf numFmtId="0" fontId="7" fillId="10" borderId="20" xfId="0" applyFont="1" applyFill="1" applyBorder="1" applyAlignment="1">
      <alignment horizontal="center" vertical="center"/>
    </xf>
    <xf numFmtId="0" fontId="7" fillId="10" borderId="10" xfId="0" applyFont="1" applyFill="1" applyBorder="1"/>
    <xf numFmtId="0" fontId="7" fillId="9" borderId="13" xfId="0" applyFont="1" applyFill="1" applyBorder="1" applyAlignment="1">
      <alignment horizontal="center" vertical="center"/>
    </xf>
    <xf numFmtId="0" fontId="7" fillId="12" borderId="3" xfId="0" applyFont="1" applyFill="1" applyBorder="1"/>
    <xf numFmtId="0" fontId="7" fillId="0" borderId="8" xfId="0" applyFont="1" applyBorder="1"/>
    <xf numFmtId="0" fontId="7" fillId="0" borderId="25" xfId="0" applyFont="1" applyBorder="1"/>
    <xf numFmtId="0" fontId="13" fillId="0" borderId="15" xfId="0" applyFont="1" applyBorder="1"/>
    <xf numFmtId="0" fontId="7" fillId="0" borderId="26" xfId="0" applyFont="1" applyBorder="1"/>
    <xf numFmtId="0" fontId="7" fillId="0" borderId="16" xfId="0" applyFont="1" applyBorder="1" applyAlignment="1">
      <alignment horizontal="center" vertical="center"/>
    </xf>
    <xf numFmtId="0" fontId="23" fillId="0" borderId="0" xfId="0" applyFont="1" applyAlignment="1">
      <alignment horizontal="center" vertical="center"/>
    </xf>
    <xf numFmtId="0" fontId="23" fillId="0" borderId="0" xfId="0" applyFont="1"/>
    <xf numFmtId="0" fontId="23" fillId="0" borderId="0" xfId="0" applyFont="1" applyAlignment="1">
      <alignment horizontal="center"/>
    </xf>
    <xf numFmtId="0" fontId="23" fillId="0" borderId="0" xfId="0" applyFont="1" applyAlignment="1">
      <alignment wrapText="1"/>
    </xf>
    <xf numFmtId="0" fontId="23" fillId="13" borderId="8" xfId="0" applyFont="1" applyFill="1" applyBorder="1" applyAlignment="1">
      <alignment horizontal="center" vertical="center"/>
    </xf>
    <xf numFmtId="0" fontId="23" fillId="13" borderId="12" xfId="0" applyFont="1" applyFill="1" applyBorder="1"/>
    <xf numFmtId="0" fontId="23" fillId="13" borderId="8" xfId="0" applyFont="1" applyFill="1" applyBorder="1" applyAlignment="1">
      <alignment horizontal="center"/>
    </xf>
    <xf numFmtId="0" fontId="23" fillId="0" borderId="0" xfId="0" applyFont="1" applyBorder="1"/>
    <xf numFmtId="0" fontId="23" fillId="0" borderId="7" xfId="0" applyFont="1" applyBorder="1" applyAlignment="1">
      <alignment horizontal="center" vertical="center"/>
    </xf>
    <xf numFmtId="0" fontId="23" fillId="0" borderId="7" xfId="0" applyFont="1" applyBorder="1" applyAlignment="1">
      <alignment horizontal="center"/>
    </xf>
    <xf numFmtId="0" fontId="23" fillId="0" borderId="9" xfId="0" applyFont="1" applyBorder="1" applyAlignment="1">
      <alignment horizontal="center" vertical="center"/>
    </xf>
    <xf numFmtId="0" fontId="23" fillId="0" borderId="20" xfId="0" applyFont="1" applyBorder="1"/>
    <xf numFmtId="0" fontId="23" fillId="0" borderId="9" xfId="0" applyFont="1" applyBorder="1" applyAlignment="1">
      <alignment horizontal="center"/>
    </xf>
    <xf numFmtId="0" fontId="23" fillId="0" borderId="0" xfId="0" applyFont="1" applyAlignment="1">
      <alignment vertical="center" wrapText="1"/>
    </xf>
    <xf numFmtId="0" fontId="3" fillId="0" borderId="14" xfId="3" applyBorder="1"/>
    <xf numFmtId="0" fontId="3" fillId="0" borderId="0" xfId="3" applyBorder="1"/>
    <xf numFmtId="0" fontId="3" fillId="0" borderId="15" xfId="3" applyBorder="1"/>
    <xf numFmtId="0" fontId="3" fillId="0" borderId="26" xfId="3" applyBorder="1"/>
    <xf numFmtId="0" fontId="3" fillId="0" borderId="16" xfId="3" applyBorder="1"/>
    <xf numFmtId="0" fontId="3" fillId="0" borderId="17" xfId="3" applyBorder="1"/>
    <xf numFmtId="0" fontId="8" fillId="0" borderId="1" xfId="0" applyFont="1" applyBorder="1" applyAlignment="1">
      <alignment horizontal="left" vertical="center"/>
    </xf>
    <xf numFmtId="0" fontId="2" fillId="0" borderId="13" xfId="2" applyFont="1" applyBorder="1" applyAlignment="1">
      <alignment horizontal="left"/>
    </xf>
    <xf numFmtId="0" fontId="2" fillId="5" borderId="12" xfId="2" applyFill="1" applyBorder="1" applyAlignment="1"/>
    <xf numFmtId="0" fontId="2" fillId="5" borderId="4" xfId="2" applyFill="1" applyBorder="1" applyAlignment="1"/>
    <xf numFmtId="0" fontId="23" fillId="0" borderId="0" xfId="0" applyFont="1" applyAlignment="1">
      <alignment horizontal="left" vertical="center" wrapText="1"/>
    </xf>
    <xf numFmtId="0" fontId="5" fillId="0" borderId="8" xfId="2" applyFont="1" applyBorder="1" applyAlignment="1" applyProtection="1">
      <alignment horizontal="center"/>
    </xf>
    <xf numFmtId="14" fontId="2" fillId="0" borderId="24" xfId="2" applyNumberFormat="1" applyFont="1" applyBorder="1" applyAlignment="1">
      <alignment horizontal="center"/>
    </xf>
    <xf numFmtId="0" fontId="8" fillId="0" borderId="7" xfId="0" quotePrefix="1" applyFont="1" applyBorder="1" applyAlignment="1">
      <alignment horizontal="center" vertical="center"/>
    </xf>
    <xf numFmtId="0" fontId="5" fillId="0" borderId="8" xfId="2" applyFont="1" applyBorder="1" applyAlignment="1" applyProtection="1">
      <alignment horizontal="center" vertical="center"/>
    </xf>
    <xf numFmtId="0" fontId="2" fillId="0" borderId="13" xfId="2" applyFont="1" applyBorder="1" applyAlignment="1">
      <alignment horizontal="left" vertical="center" wrapText="1"/>
    </xf>
    <xf numFmtId="14" fontId="2" fillId="0" borderId="24" xfId="2" applyNumberFormat="1" applyFont="1" applyBorder="1" applyAlignment="1">
      <alignment horizontal="center" vertical="center"/>
    </xf>
    <xf numFmtId="0" fontId="25" fillId="14" borderId="8" xfId="2" applyFont="1" applyFill="1" applyBorder="1" applyAlignment="1">
      <alignment horizontal="center" vertical="center"/>
    </xf>
    <xf numFmtId="0" fontId="27" fillId="15" borderId="0" xfId="0" applyFont="1" applyFill="1"/>
    <xf numFmtId="0" fontId="27" fillId="15" borderId="8" xfId="0" applyFont="1" applyFill="1" applyBorder="1" applyAlignment="1">
      <alignment horizontal="center" vertical="center"/>
    </xf>
    <xf numFmtId="0" fontId="27" fillId="15" borderId="13" xfId="0" applyFont="1" applyFill="1" applyBorder="1" applyAlignment="1">
      <alignment vertical="center"/>
    </xf>
    <xf numFmtId="0" fontId="27" fillId="15" borderId="12" xfId="0" applyFont="1" applyFill="1" applyBorder="1" applyAlignment="1">
      <alignment vertical="center"/>
    </xf>
    <xf numFmtId="0" fontId="27" fillId="15" borderId="4" xfId="0" applyFont="1" applyFill="1" applyBorder="1" applyAlignment="1">
      <alignment vertical="center"/>
    </xf>
    <xf numFmtId="0" fontId="23" fillId="0" borderId="0" xfId="0" applyFont="1" applyAlignment="1">
      <alignment horizontal="left" vertical="top" wrapText="1"/>
    </xf>
    <xf numFmtId="0" fontId="3" fillId="7" borderId="27" xfId="3" applyFill="1" applyBorder="1" applyAlignment="1">
      <alignment horizontal="center" vertical="top" wrapText="1"/>
    </xf>
    <xf numFmtId="0" fontId="3" fillId="7" borderId="28" xfId="3" applyFill="1" applyBorder="1" applyAlignment="1">
      <alignment horizontal="center" vertical="top" wrapText="1"/>
    </xf>
    <xf numFmtId="0" fontId="3" fillId="7" borderId="29" xfId="3" applyFill="1" applyBorder="1" applyAlignment="1">
      <alignment horizontal="center" vertical="top" wrapText="1"/>
    </xf>
    <xf numFmtId="0" fontId="3" fillId="7" borderId="30" xfId="3" applyFill="1" applyBorder="1" applyAlignment="1">
      <alignment horizontal="center" vertical="top" wrapText="1"/>
    </xf>
    <xf numFmtId="0" fontId="3" fillId="7" borderId="0" xfId="3" applyFill="1" applyBorder="1" applyAlignment="1">
      <alignment horizontal="center" vertical="top" wrapText="1"/>
    </xf>
    <xf numFmtId="0" fontId="3" fillId="7" borderId="31" xfId="3" applyFill="1" applyBorder="1" applyAlignment="1">
      <alignment horizontal="center" vertical="top" wrapText="1"/>
    </xf>
    <xf numFmtId="0" fontId="3" fillId="7" borderId="32" xfId="3" applyFill="1" applyBorder="1" applyAlignment="1">
      <alignment horizontal="center" vertical="top" wrapText="1"/>
    </xf>
    <xf numFmtId="0" fontId="3" fillId="7" borderId="33" xfId="3" applyFill="1" applyBorder="1" applyAlignment="1">
      <alignment horizontal="center" vertical="top" wrapText="1"/>
    </xf>
    <xf numFmtId="0" fontId="3" fillId="7" borderId="34" xfId="3" applyFill="1" applyBorder="1" applyAlignment="1">
      <alignment horizontal="center" vertical="top" wrapTex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0" fontId="6" fillId="5" borderId="3" xfId="2" applyFont="1" applyFill="1" applyBorder="1" applyAlignment="1">
      <alignment horizontal="center" vertical="center" wrapText="1"/>
    </xf>
    <xf numFmtId="0" fontId="6" fillId="5" borderId="3" xfId="2" applyFont="1" applyFill="1" applyBorder="1" applyAlignment="1">
      <alignment horizontal="center" vertical="center"/>
    </xf>
    <xf numFmtId="0" fontId="6" fillId="5" borderId="2" xfId="2" applyFont="1" applyFill="1" applyBorder="1" applyAlignment="1">
      <alignment horizontal="center" vertical="center"/>
    </xf>
    <xf numFmtId="0" fontId="6" fillId="5" borderId="12" xfId="2" applyFont="1" applyFill="1" applyBorder="1" applyAlignment="1">
      <alignment horizontal="right"/>
    </xf>
    <xf numFmtId="0" fontId="27" fillId="15" borderId="13" xfId="0" applyFont="1" applyFill="1" applyBorder="1" applyAlignment="1">
      <alignment vertical="center"/>
    </xf>
    <xf numFmtId="0" fontId="27" fillId="15" borderId="12" xfId="0" applyFont="1" applyFill="1" applyBorder="1" applyAlignment="1">
      <alignment vertical="center"/>
    </xf>
    <xf numFmtId="0" fontId="27" fillId="15" borderId="4" xfId="0" applyFont="1" applyFill="1" applyBorder="1" applyAlignment="1">
      <alignment vertical="center"/>
    </xf>
    <xf numFmtId="0" fontId="24" fillId="14" borderId="13" xfId="2" applyFont="1" applyFill="1" applyBorder="1" applyAlignment="1">
      <alignment horizontal="center" vertical="center"/>
    </xf>
    <xf numFmtId="0" fontId="24" fillId="14" borderId="12" xfId="2" applyFont="1" applyFill="1" applyBorder="1" applyAlignment="1">
      <alignment horizontal="center" vertical="center"/>
    </xf>
    <xf numFmtId="0" fontId="24" fillId="14" borderId="4" xfId="2" applyFont="1" applyFill="1" applyBorder="1" applyAlignment="1">
      <alignment horizontal="center" vertical="center"/>
    </xf>
    <xf numFmtId="0" fontId="26" fillId="14" borderId="8" xfId="0" applyFont="1" applyFill="1" applyBorder="1" applyAlignment="1">
      <alignment horizontal="center" vertical="center"/>
    </xf>
  </cellXfs>
  <cellStyles count="4">
    <cellStyle name="Normal" xfId="0" builtinId="0"/>
    <cellStyle name="Normal 2" xfId="1" xr:uid="{00000000-0005-0000-0000-000001000000}"/>
    <cellStyle name="Normal_P241 cortec" xfId="2" xr:uid="{00000000-0005-0000-0000-000002000000}"/>
    <cellStyle name="Normal_Template"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List" dx="16" fmlaLink="Language!$A$3" fmlaRange="Language!$B$4:$B$6" noThreeD="1" sel="1" val="0"/>
</file>

<file path=xl/ctrlProps/ctrlProp2.xml><?xml version="1.0" encoding="utf-8"?>
<formControlPr xmlns="http://schemas.microsoft.com/office/spreadsheetml/2009/9/main" objectType="List" dx="16" fmlaLink="Database!$B$3" fmlaRange="Database!$C$5" noThreeD="1" sel="1" val="0"/>
</file>

<file path=xl/ctrlProps/ctrlProp3.xml><?xml version="1.0" encoding="utf-8"?>
<formControlPr xmlns="http://schemas.microsoft.com/office/spreadsheetml/2009/9/main" objectType="List" dx="16" fmlaLink="Database!$B$10" fmlaRange="Database!$C$11:$C$14" noThreeD="1" sel="3" val="0"/>
</file>

<file path=xl/ctrlProps/ctrlProp4.xml><?xml version="1.0" encoding="utf-8"?>
<formControlPr xmlns="http://schemas.microsoft.com/office/spreadsheetml/2009/9/main" objectType="List" dx="16" fmlaLink="Database!$B$22" fmlaRange="Database!$C$23" noThreeD="1" sel="1" val="0"/>
</file>

<file path=xl/ctrlProps/ctrlProp5.xml><?xml version="1.0" encoding="utf-8"?>
<formControlPr xmlns="http://schemas.microsoft.com/office/spreadsheetml/2009/9/main" objectType="List" dx="16" fmlaLink="Database!$B$34" fmlaRange="Database!$C$35" noThreeD="1" sel="1" val="0"/>
</file>

<file path=xl/ctrlProps/ctrlProp6.xml><?xml version="1.0" encoding="utf-8"?>
<formControlPr xmlns="http://schemas.microsoft.com/office/spreadsheetml/2009/9/main" objectType="List" dx="16" fmlaLink="Database!$B$43" fmlaRange="Database!$C$44" noThreeD="1" sel="1" val="0"/>
</file>

<file path=xl/ctrlProps/ctrlProp7.xml><?xml version="1.0" encoding="utf-8"?>
<formControlPr xmlns="http://schemas.microsoft.com/office/spreadsheetml/2009/9/main" objectType="List" dx="16" fmlaLink="Database!$B$50" fmlaRange="Database!$C$51:$C$52" noThreeD="1" sel="2" val="0"/>
</file>

<file path=xl/ctrlProps/ctrlProp8.xml><?xml version="1.0" encoding="utf-8"?>
<formControlPr xmlns="http://schemas.microsoft.com/office/spreadsheetml/2009/9/main" objectType="List" dx="16" fmlaLink="Database!$B$57" fmlaRange="Database!$C$58:$C$61" noThreeD="1" sel="4" val="0"/>
</file>

<file path=xl/ctrlProps/ctrlProp9.xml><?xml version="1.0" encoding="utf-8"?>
<formControlPr xmlns="http://schemas.microsoft.com/office/spreadsheetml/2009/9/main" objectType="List" dx="16" fmlaLink="Database!$B$69" fmlaRange="Database!$C$70:$C$71"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50800</xdr:rowOff>
        </xdr:from>
        <xdr:to>
          <xdr:col>3</xdr:col>
          <xdr:colOff>755650</xdr:colOff>
          <xdr:row>15</xdr:row>
          <xdr:rowOff>0</xdr:rowOff>
        </xdr:to>
        <xdr:sp macro="" textlink="">
          <xdr:nvSpPr>
            <xdr:cNvPr id="5121" name="List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6</xdr:col>
          <xdr:colOff>0</xdr:colOff>
          <xdr:row>5</xdr:row>
          <xdr:rowOff>0</xdr:rowOff>
        </xdr:to>
        <xdr:sp macro="" textlink="">
          <xdr:nvSpPr>
            <xdr:cNvPr id="8194" name="List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6</xdr:col>
          <xdr:colOff>0</xdr:colOff>
          <xdr:row>7</xdr:row>
          <xdr:rowOff>0</xdr:rowOff>
        </xdr:to>
        <xdr:sp macro="" textlink="">
          <xdr:nvSpPr>
            <xdr:cNvPr id="8197" name="List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6</xdr:col>
          <xdr:colOff>0</xdr:colOff>
          <xdr:row>9</xdr:row>
          <xdr:rowOff>0</xdr:rowOff>
        </xdr:to>
        <xdr:sp macro="" textlink="">
          <xdr:nvSpPr>
            <xdr:cNvPr id="8199" name="List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6</xdr:col>
          <xdr:colOff>0</xdr:colOff>
          <xdr:row>11</xdr:row>
          <xdr:rowOff>0</xdr:rowOff>
        </xdr:to>
        <xdr:sp macro="" textlink="">
          <xdr:nvSpPr>
            <xdr:cNvPr id="8205" name="List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6</xdr:col>
          <xdr:colOff>0</xdr:colOff>
          <xdr:row>13</xdr:row>
          <xdr:rowOff>0</xdr:rowOff>
        </xdr:to>
        <xdr:sp macro="" textlink="">
          <xdr:nvSpPr>
            <xdr:cNvPr id="8207" name="List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6</xdr:col>
          <xdr:colOff>0</xdr:colOff>
          <xdr:row>15</xdr:row>
          <xdr:rowOff>0</xdr:rowOff>
        </xdr:to>
        <xdr:sp macro="" textlink="">
          <xdr:nvSpPr>
            <xdr:cNvPr id="8237" name="List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6</xdr:col>
          <xdr:colOff>0</xdr:colOff>
          <xdr:row>16</xdr:row>
          <xdr:rowOff>628650</xdr:rowOff>
        </xdr:to>
        <xdr:sp macro="" textlink="">
          <xdr:nvSpPr>
            <xdr:cNvPr id="8239" name="List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6</xdr:col>
          <xdr:colOff>0</xdr:colOff>
          <xdr:row>19</xdr:row>
          <xdr:rowOff>0</xdr:rowOff>
        </xdr:to>
        <xdr:sp macro="" textlink="">
          <xdr:nvSpPr>
            <xdr:cNvPr id="8241" name="List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1">
    <pageSetUpPr fitToPage="1"/>
  </sheetPr>
  <dimension ref="B2:J15"/>
  <sheetViews>
    <sheetView showGridLines="0" showRowColHeaders="0" tabSelected="1" workbookViewId="0">
      <selection activeCell="J19" sqref="J19"/>
    </sheetView>
  </sheetViews>
  <sheetFormatPr defaultColWidth="10.26953125" defaultRowHeight="14" x14ac:dyDescent="0.3"/>
  <cols>
    <col min="1" max="1" width="4.1796875" style="1" customWidth="1"/>
    <col min="2" max="9" width="11.453125" style="1" customWidth="1"/>
    <col min="10" max="10" width="45.7265625" style="1" customWidth="1"/>
    <col min="11" max="16384" width="10.26953125" style="1"/>
  </cols>
  <sheetData>
    <row r="2" spans="2:10" ht="14.5" thickBot="1" x14ac:dyDescent="0.35"/>
    <row r="3" spans="2:10" ht="15" customHeight="1" thickTop="1" x14ac:dyDescent="0.3">
      <c r="B3" s="219" t="str">
        <f>HLOOKUP(Language!$C$3,Language!$E$1:$Z500,41,FALSE)</f>
        <v xml:space="preserve">Our policy is one of continuous development. Accordingly the design of our products may change at any time. </v>
      </c>
      <c r="C3" s="220"/>
      <c r="D3" s="220"/>
      <c r="E3" s="220"/>
      <c r="F3" s="220"/>
      <c r="G3" s="220"/>
      <c r="H3" s="220"/>
      <c r="I3" s="220"/>
      <c r="J3" s="221"/>
    </row>
    <row r="4" spans="2:10" ht="14.25" customHeight="1" x14ac:dyDescent="0.3">
      <c r="B4" s="222" t="str">
        <f>HLOOKUP(Language!$C$3,Language!$E$1:$Z500,42,FALSE)</f>
        <v>Whilst every effort is made to produce up to date literature, this document should only be regarded as a guide and is intended for information purposes only.</v>
      </c>
      <c r="C4" s="223"/>
      <c r="D4" s="223"/>
      <c r="E4" s="223"/>
      <c r="F4" s="223"/>
      <c r="G4" s="223"/>
      <c r="H4" s="223"/>
      <c r="I4" s="223"/>
      <c r="J4" s="224"/>
    </row>
    <row r="5" spans="2:10" x14ac:dyDescent="0.3">
      <c r="B5" s="222"/>
      <c r="C5" s="223"/>
      <c r="D5" s="223"/>
      <c r="E5" s="223"/>
      <c r="F5" s="223"/>
      <c r="G5" s="223"/>
      <c r="H5" s="223"/>
      <c r="I5" s="223"/>
      <c r="J5" s="224"/>
    </row>
    <row r="6" spans="2:10" ht="14.25" customHeight="1" x14ac:dyDescent="0.3">
      <c r="B6" s="222" t="str">
        <f>HLOOKUP(Language!$C$3,Language!$E$1:$Z500,43,FALSE)</f>
        <v>Its contents do not constitute an offer for sale or advice on the application of any product referred to in it. We cannot be held responsible for any reliance on any decisions taken on its contents without specific advice.</v>
      </c>
      <c r="C6" s="223"/>
      <c r="D6" s="223"/>
      <c r="E6" s="223"/>
      <c r="F6" s="223"/>
      <c r="G6" s="223"/>
      <c r="H6" s="223"/>
      <c r="I6" s="223"/>
      <c r="J6" s="224"/>
    </row>
    <row r="7" spans="2:10" x14ac:dyDescent="0.3">
      <c r="B7" s="222"/>
      <c r="C7" s="223"/>
      <c r="D7" s="223"/>
      <c r="E7" s="223"/>
      <c r="F7" s="223"/>
      <c r="G7" s="223"/>
      <c r="H7" s="223"/>
      <c r="I7" s="223"/>
      <c r="J7" s="224"/>
    </row>
    <row r="8" spans="2:10" ht="3.75" customHeight="1" thickBot="1" x14ac:dyDescent="0.35">
      <c r="B8" s="225"/>
      <c r="C8" s="226"/>
      <c r="D8" s="226"/>
      <c r="E8" s="226"/>
      <c r="F8" s="226"/>
      <c r="G8" s="226"/>
      <c r="H8" s="226"/>
      <c r="I8" s="226"/>
      <c r="J8" s="227"/>
    </row>
    <row r="9" spans="2:10" ht="14.5" thickTop="1" x14ac:dyDescent="0.3"/>
    <row r="10" spans="2:10" ht="14.5" thickBot="1" x14ac:dyDescent="0.35"/>
    <row r="11" spans="2:10" ht="15.5" x14ac:dyDescent="0.3">
      <c r="B11" s="228" t="str">
        <f>HLOOKUP(Language!$C$3,Language!$E$1:$Z500,40,FALSE)</f>
        <v>Language Selection</v>
      </c>
      <c r="C11" s="229"/>
      <c r="D11" s="230"/>
    </row>
    <row r="12" spans="2:10" x14ac:dyDescent="0.3">
      <c r="B12" s="195"/>
      <c r="C12" s="196"/>
      <c r="D12" s="197"/>
    </row>
    <row r="13" spans="2:10" x14ac:dyDescent="0.3">
      <c r="B13" s="195"/>
      <c r="C13" s="196"/>
      <c r="D13" s="197"/>
    </row>
    <row r="14" spans="2:10" x14ac:dyDescent="0.3">
      <c r="B14" s="195"/>
      <c r="C14" s="196"/>
      <c r="D14" s="197"/>
    </row>
    <row r="15" spans="2:10" ht="14.5" thickBot="1" x14ac:dyDescent="0.35">
      <c r="B15" s="198"/>
      <c r="C15" s="199"/>
      <c r="D15" s="200"/>
    </row>
  </sheetData>
  <sheetProtection algorithmName="SHA-512" hashValue="6ulPSI+/adcMcy1RmlsxFCDGJitgLPXIsBPlcDti3bIWVlSYymZXDr3nwVM9KtRmDLTvqWgmWOtD/b8YAbDnPw==" saltValue="4JNttoW7eYJbtPIn067mlQ==" spinCount="100000" sheet="1" objects="1" scenarios="1"/>
  <mergeCells count="4">
    <mergeCell ref="B3:J3"/>
    <mergeCell ref="B4:J5"/>
    <mergeCell ref="B6:J8"/>
    <mergeCell ref="B11:D11"/>
  </mergeCells>
  <phoneticPr fontId="19" type="noConversion"/>
  <pageMargins left="0.75" right="0.75" top="1" bottom="1" header="0.5" footer="0.5"/>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List Box 1">
              <controlPr defaultSize="0" autoLine="0" autoPict="0">
                <anchor moveWithCells="1">
                  <from>
                    <xdr:col>1</xdr:col>
                    <xdr:colOff>0</xdr:colOff>
                    <xdr:row>11</xdr:row>
                    <xdr:rowOff>50800</xdr:rowOff>
                  </from>
                  <to>
                    <xdr:col>3</xdr:col>
                    <xdr:colOff>755650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41"/>
  <sheetViews>
    <sheetView showGridLines="0" workbookViewId="0">
      <selection activeCell="P2" sqref="P2"/>
    </sheetView>
  </sheetViews>
  <sheetFormatPr defaultColWidth="2.26953125" defaultRowHeight="12.5" x14ac:dyDescent="0.25"/>
  <cols>
    <col min="1" max="1" width="8.1796875" style="65" customWidth="1"/>
    <col min="2" max="2" width="19" style="65" customWidth="1"/>
    <col min="3" max="3" width="46" style="65" customWidth="1"/>
    <col min="4" max="4" width="12.7265625" style="90" customWidth="1"/>
    <col min="5" max="7" width="2.7265625" style="90" customWidth="1"/>
    <col min="8" max="8" width="4.7265625" style="90" customWidth="1"/>
    <col min="9" max="9" width="2.7265625" style="90" customWidth="1"/>
    <col min="10" max="10" width="1.7265625" style="90" customWidth="1"/>
    <col min="11" max="13" width="2.7265625" style="90" customWidth="1"/>
    <col min="14" max="251" width="9.1796875" style="65" customWidth="1"/>
    <col min="252" max="252" width="8.1796875" style="65" customWidth="1"/>
    <col min="253" max="253" width="19" style="65" customWidth="1"/>
    <col min="254" max="254" width="33.54296875" style="65" customWidth="1"/>
    <col min="255" max="255" width="6.7265625" style="65" customWidth="1"/>
    <col min="256" max="16384" width="2.26953125" style="65"/>
  </cols>
  <sheetData>
    <row r="1" spans="1:256" x14ac:dyDescent="0.25">
      <c r="A1" s="54" t="str">
        <f>HLOOKUP(Language!$C$3,Language!$E$1:$Z571,44,FALSE)</f>
        <v>Information required with Order:</v>
      </c>
      <c r="B1" s="54"/>
      <c r="C1" s="54"/>
      <c r="D1" s="64"/>
      <c r="E1" s="64"/>
      <c r="F1" s="64"/>
      <c r="G1" s="64"/>
      <c r="H1" s="64"/>
      <c r="I1" s="64"/>
      <c r="J1" s="64"/>
      <c r="K1" s="64"/>
      <c r="L1" s="64"/>
      <c r="M1" s="64"/>
    </row>
    <row r="2" spans="1:256" x14ac:dyDescent="0.25">
      <c r="A2" s="54"/>
      <c r="B2" s="54"/>
      <c r="C2" s="54"/>
      <c r="D2" s="64"/>
      <c r="E2" s="64"/>
      <c r="F2" s="64"/>
      <c r="G2" s="64"/>
      <c r="H2" s="64"/>
      <c r="I2" s="64"/>
      <c r="J2" s="64"/>
      <c r="K2" s="64"/>
      <c r="L2" s="64"/>
      <c r="M2" s="64"/>
    </row>
    <row r="3" spans="1:256" x14ac:dyDescent="0.25">
      <c r="A3" s="66" t="str">
        <f>HLOOKUP(Language!$C$3,Language!$E$1:$Z571,45,FALSE)</f>
        <v>Variants</v>
      </c>
      <c r="B3" s="234" t="str">
        <f>HLOOKUP(Language!$C$3,Language!$E$1:$Z571,46,FALSE)</f>
        <v>Order Number</v>
      </c>
      <c r="C3" s="234"/>
      <c r="D3" s="234"/>
      <c r="E3" s="234"/>
      <c r="F3" s="234"/>
      <c r="G3" s="234"/>
      <c r="H3" s="203"/>
      <c r="I3" s="204"/>
      <c r="J3" s="130"/>
      <c r="K3" s="231" t="str">
        <f>HLOOKUP(Language!$C$3,Language!$E$1:$Z500,48,FALSE)</f>
        <v>Optional</v>
      </c>
      <c r="L3" s="232"/>
      <c r="M3" s="233"/>
    </row>
    <row r="4" spans="1:256" x14ac:dyDescent="0.25">
      <c r="A4" s="67"/>
      <c r="B4" s="68"/>
      <c r="C4" s="69"/>
      <c r="D4" s="70" t="s">
        <v>10</v>
      </c>
      <c r="E4" s="71">
        <v>6</v>
      </c>
      <c r="F4" s="72">
        <v>7</v>
      </c>
      <c r="G4" s="70">
        <v>8</v>
      </c>
      <c r="H4" s="128" t="s">
        <v>24</v>
      </c>
      <c r="I4" s="70">
        <v>11</v>
      </c>
      <c r="J4" s="131"/>
      <c r="K4" s="72">
        <v>12</v>
      </c>
      <c r="L4" s="72">
        <v>13</v>
      </c>
      <c r="M4" s="72">
        <v>14</v>
      </c>
    </row>
    <row r="5" spans="1:256" ht="13" x14ac:dyDescent="0.3">
      <c r="A5" s="73" t="str">
        <f>'Date Drivers'!A3</f>
        <v>Model Type</v>
      </c>
      <c r="B5" s="54"/>
      <c r="C5" s="54"/>
      <c r="D5" s="74"/>
      <c r="E5" s="75"/>
      <c r="F5" s="76"/>
      <c r="G5" s="74"/>
      <c r="H5" s="77"/>
      <c r="I5" s="129"/>
      <c r="J5" s="133"/>
      <c r="K5" s="134"/>
      <c r="L5" s="77"/>
      <c r="M5" s="129"/>
    </row>
    <row r="6" spans="1:256" x14ac:dyDescent="0.25">
      <c r="A6" s="78" t="str">
        <f>Database!A2</f>
        <v>RT431 GPS Precision-Time Clock</v>
      </c>
      <c r="B6" s="79"/>
      <c r="C6" s="79"/>
      <c r="D6" s="80" t="s">
        <v>25</v>
      </c>
      <c r="E6" s="75"/>
      <c r="F6" s="76"/>
      <c r="G6" s="74"/>
      <c r="H6" s="77"/>
      <c r="I6" s="129"/>
      <c r="J6" s="133"/>
      <c r="K6" s="134"/>
      <c r="L6" s="77"/>
      <c r="M6" s="129"/>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c r="IR6" s="81"/>
      <c r="IS6" s="81"/>
      <c r="IT6" s="81"/>
      <c r="IU6" s="81"/>
      <c r="IV6" s="81"/>
    </row>
    <row r="7" spans="1:256" x14ac:dyDescent="0.25">
      <c r="A7" s="82"/>
      <c r="B7" s="83"/>
      <c r="C7" s="83"/>
      <c r="D7" s="84"/>
      <c r="E7" s="75"/>
      <c r="F7" s="76"/>
      <c r="G7" s="74"/>
      <c r="H7" s="77"/>
      <c r="I7" s="129"/>
      <c r="J7" s="133"/>
      <c r="K7" s="134"/>
      <c r="L7" s="77"/>
      <c r="M7" s="129"/>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c r="IR7" s="81"/>
      <c r="IS7" s="81"/>
      <c r="IT7" s="81"/>
      <c r="IU7" s="81"/>
      <c r="IV7" s="81"/>
    </row>
    <row r="8" spans="1:256" ht="13" x14ac:dyDescent="0.3">
      <c r="A8" s="73" t="str">
        <f>'Date Drivers'!A6</f>
        <v>Power Supply</v>
      </c>
      <c r="B8" s="79"/>
      <c r="C8" s="79"/>
      <c r="D8" s="85"/>
      <c r="E8" s="75"/>
      <c r="F8" s="76"/>
      <c r="G8" s="74"/>
      <c r="H8" s="77"/>
      <c r="I8" s="129"/>
      <c r="J8" s="133"/>
      <c r="K8" s="134"/>
      <c r="L8" s="77"/>
      <c r="M8" s="129"/>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c r="IR8" s="81"/>
      <c r="IS8" s="81"/>
      <c r="IT8" s="81"/>
      <c r="IU8" s="81"/>
      <c r="IV8" s="81"/>
    </row>
    <row r="9" spans="1:256" x14ac:dyDescent="0.25">
      <c r="A9" s="78" t="str">
        <f>Database!C5</f>
        <v>100-250 Vdc / 110-240 Vac</v>
      </c>
      <c r="B9" s="79"/>
      <c r="C9" s="79"/>
      <c r="D9" s="85"/>
      <c r="E9" s="86">
        <f>Database!$D5</f>
        <v>3</v>
      </c>
      <c r="F9" s="76"/>
      <c r="G9" s="74"/>
      <c r="H9" s="77"/>
      <c r="I9" s="129"/>
      <c r="J9" s="133"/>
      <c r="K9" s="134"/>
      <c r="L9" s="77"/>
      <c r="M9" s="129"/>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c r="IR9" s="81"/>
      <c r="IS9" s="81"/>
      <c r="IT9" s="81"/>
      <c r="IU9" s="81"/>
      <c r="IV9" s="81"/>
    </row>
    <row r="10" spans="1:256" x14ac:dyDescent="0.25">
      <c r="A10" s="82"/>
      <c r="B10" s="83"/>
      <c r="C10" s="83"/>
      <c r="D10" s="84"/>
      <c r="E10" s="87"/>
      <c r="F10" s="76"/>
      <c r="G10" s="74"/>
      <c r="H10" s="77"/>
      <c r="I10" s="129"/>
      <c r="J10" s="133"/>
      <c r="K10" s="134"/>
      <c r="L10" s="77"/>
      <c r="M10" s="129"/>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c r="IR10" s="81"/>
      <c r="IS10" s="81"/>
      <c r="IT10" s="81"/>
      <c r="IU10" s="81"/>
      <c r="IV10" s="81"/>
    </row>
    <row r="11" spans="1:256" ht="13" x14ac:dyDescent="0.3">
      <c r="A11" s="115" t="str">
        <f>'Date Drivers'!A16</f>
        <v>Ethernet Interface</v>
      </c>
      <c r="B11" s="79"/>
      <c r="C11" s="79"/>
      <c r="D11" s="85"/>
      <c r="E11" s="88"/>
      <c r="F11" s="76"/>
      <c r="G11" s="74"/>
      <c r="H11" s="77"/>
      <c r="I11" s="129"/>
      <c r="J11" s="133"/>
      <c r="K11" s="134"/>
      <c r="L11" s="77"/>
      <c r="M11" s="129"/>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c r="IR11" s="81"/>
      <c r="IS11" s="81"/>
      <c r="IT11" s="81"/>
      <c r="IU11" s="81"/>
      <c r="IV11" s="81"/>
    </row>
    <row r="12" spans="1:256" x14ac:dyDescent="0.25">
      <c r="A12" s="117" t="str">
        <f>Database!C11</f>
        <v>RJ45 copper 100BASE-TX for configuration only</v>
      </c>
      <c r="B12" s="79"/>
      <c r="C12" s="79"/>
      <c r="D12" s="85"/>
      <c r="E12" s="88"/>
      <c r="F12" s="86" t="str">
        <f>Database!$D11</f>
        <v>C</v>
      </c>
      <c r="G12" s="74"/>
      <c r="H12" s="77"/>
      <c r="I12" s="129"/>
      <c r="J12" s="133"/>
      <c r="K12" s="134"/>
      <c r="L12" s="77"/>
      <c r="M12" s="129"/>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row>
    <row r="13" spans="1:256" x14ac:dyDescent="0.25">
      <c r="A13" s="117" t="str">
        <f>Database!C12</f>
        <v>RJ45 copper 100BASE-TX for NTP server and configuration</v>
      </c>
      <c r="B13" s="79"/>
      <c r="C13" s="79"/>
      <c r="D13" s="85"/>
      <c r="E13" s="88"/>
      <c r="F13" s="86" t="str">
        <f>Database!$D12</f>
        <v>N</v>
      </c>
      <c r="G13" s="74"/>
      <c r="H13" s="77"/>
      <c r="I13" s="129"/>
      <c r="J13" s="133"/>
      <c r="K13" s="134"/>
      <c r="L13" s="77"/>
      <c r="M13" s="129"/>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row>
    <row r="14" spans="1:256" x14ac:dyDescent="0.25">
      <c r="A14" s="117" t="str">
        <f>Database!C13</f>
        <v>RJ45 copper 100BASE-TX for PTP (IEEE 1588) server, NTP server and configuration</v>
      </c>
      <c r="B14" s="79"/>
      <c r="C14" s="79"/>
      <c r="D14" s="85"/>
      <c r="E14" s="88"/>
      <c r="F14" s="86" t="str">
        <f>Database!$D13</f>
        <v>P</v>
      </c>
      <c r="G14" s="74"/>
      <c r="H14" s="77"/>
      <c r="I14" s="129"/>
      <c r="J14" s="133"/>
      <c r="K14" s="134"/>
      <c r="L14" s="77"/>
      <c r="M14" s="129"/>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c r="IR14" s="81"/>
      <c r="IS14" s="81"/>
      <c r="IT14" s="81"/>
      <c r="IU14" s="81"/>
      <c r="IV14" s="81"/>
    </row>
    <row r="15" spans="1:256" x14ac:dyDescent="0.25">
      <c r="A15" s="117" t="str">
        <f>Database!C14</f>
        <v>RJ45 copper 100BASE-TX for PTP (IEEE 1588) client</v>
      </c>
      <c r="B15" s="79"/>
      <c r="C15" s="79"/>
      <c r="D15" s="85"/>
      <c r="E15" s="88"/>
      <c r="F15" s="86" t="str">
        <f>Database!$D14</f>
        <v>S</v>
      </c>
      <c r="G15" s="74"/>
      <c r="H15" s="77"/>
      <c r="I15" s="129"/>
      <c r="J15" s="133"/>
      <c r="K15" s="134"/>
      <c r="L15" s="77"/>
      <c r="M15" s="129"/>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c r="IR15" s="81"/>
      <c r="IS15" s="81"/>
      <c r="IT15" s="81"/>
      <c r="IU15" s="81"/>
      <c r="IV15" s="81"/>
    </row>
    <row r="16" spans="1:256" x14ac:dyDescent="0.25">
      <c r="A16" s="82"/>
      <c r="B16" s="83"/>
      <c r="C16" s="83"/>
      <c r="D16" s="84"/>
      <c r="E16" s="87"/>
      <c r="F16" s="87"/>
      <c r="G16" s="74"/>
      <c r="H16" s="77"/>
      <c r="I16" s="129"/>
      <c r="J16" s="133"/>
      <c r="K16" s="134"/>
      <c r="L16" s="77"/>
      <c r="M16" s="129"/>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c r="IR16" s="81"/>
      <c r="IS16" s="81"/>
      <c r="IT16" s="81"/>
      <c r="IU16" s="81"/>
      <c r="IV16" s="81"/>
    </row>
    <row r="17" spans="1:256" ht="13" x14ac:dyDescent="0.3">
      <c r="A17" s="73" t="str">
        <f>'Date Drivers'!A30</f>
        <v>Customization / Regionalisation</v>
      </c>
      <c r="B17" s="116"/>
      <c r="C17" s="116"/>
      <c r="D17" s="88"/>
      <c r="E17" s="88"/>
      <c r="F17" s="88"/>
      <c r="G17" s="74"/>
      <c r="H17" s="77"/>
      <c r="I17" s="129"/>
      <c r="J17" s="133"/>
      <c r="K17" s="134"/>
      <c r="L17" s="77"/>
      <c r="M17" s="129"/>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c r="IR17" s="81"/>
      <c r="IS17" s="81"/>
      <c r="IT17" s="81"/>
      <c r="IU17" s="81"/>
      <c r="IV17" s="81"/>
    </row>
    <row r="18" spans="1:256" x14ac:dyDescent="0.25">
      <c r="A18" s="78" t="str">
        <f>Database!C23</f>
        <v>GE branding</v>
      </c>
      <c r="B18" s="116"/>
      <c r="C18" s="116"/>
      <c r="D18" s="88"/>
      <c r="E18" s="88"/>
      <c r="F18" s="88"/>
      <c r="G18" s="86" t="str">
        <f>Database!$D23</f>
        <v>C</v>
      </c>
      <c r="H18" s="77"/>
      <c r="I18" s="129"/>
      <c r="J18" s="133"/>
      <c r="K18" s="134"/>
      <c r="L18" s="77"/>
      <c r="M18" s="129"/>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c r="IR18" s="81"/>
      <c r="IS18" s="81"/>
      <c r="IT18" s="81"/>
      <c r="IU18" s="81"/>
      <c r="IV18" s="81"/>
    </row>
    <row r="19" spans="1:256" x14ac:dyDescent="0.25">
      <c r="A19" s="118"/>
      <c r="B19" s="116"/>
      <c r="C19" s="119"/>
      <c r="D19" s="87"/>
      <c r="E19" s="87"/>
      <c r="F19" s="87"/>
      <c r="G19" s="87"/>
      <c r="H19" s="77"/>
      <c r="I19" s="129"/>
      <c r="J19" s="133"/>
      <c r="K19" s="134"/>
      <c r="L19" s="77"/>
      <c r="M19" s="129"/>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c r="IR19" s="81"/>
      <c r="IS19" s="81"/>
      <c r="IT19" s="81"/>
      <c r="IU19" s="81"/>
      <c r="IV19" s="81"/>
    </row>
    <row r="20" spans="1:256" ht="13" x14ac:dyDescent="0.3">
      <c r="A20" s="73" t="str">
        <f>'Date Drivers'!A38</f>
        <v>Firmware Version</v>
      </c>
      <c r="B20" s="120"/>
      <c r="C20" s="116"/>
      <c r="D20" s="88"/>
      <c r="E20" s="88"/>
      <c r="F20" s="88"/>
      <c r="G20" s="88"/>
      <c r="H20" s="77"/>
      <c r="I20" s="129"/>
      <c r="J20" s="133"/>
      <c r="K20" s="134"/>
      <c r="L20" s="77"/>
      <c r="M20" s="129"/>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c r="IR20" s="81"/>
      <c r="IS20" s="81"/>
      <c r="IT20" s="81"/>
      <c r="IU20" s="81"/>
      <c r="IV20" s="81"/>
    </row>
    <row r="21" spans="1:256" x14ac:dyDescent="0.25">
      <c r="A21" s="78" t="str">
        <f>Database!C35</f>
        <v>Latest available firmware - 08</v>
      </c>
      <c r="B21" s="116"/>
      <c r="C21" s="116"/>
      <c r="D21" s="88"/>
      <c r="E21" s="88"/>
      <c r="F21" s="88"/>
      <c r="G21" s="88"/>
      <c r="H21" s="86" t="str">
        <f>Database!$D35</f>
        <v>08</v>
      </c>
      <c r="I21" s="129"/>
      <c r="J21" s="133"/>
      <c r="K21" s="134"/>
      <c r="L21" s="77"/>
      <c r="M21" s="129"/>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c r="IR21" s="81"/>
      <c r="IS21" s="81"/>
      <c r="IT21" s="81"/>
      <c r="IU21" s="81"/>
      <c r="IV21" s="81"/>
    </row>
    <row r="22" spans="1:256" x14ac:dyDescent="0.25">
      <c r="A22" s="78" t="str">
        <f>Database!C36</f>
        <v>Firmware version number - 07 (withdraw)</v>
      </c>
      <c r="B22" s="116"/>
      <c r="C22" s="116"/>
      <c r="D22" s="88"/>
      <c r="E22" s="88"/>
      <c r="F22" s="88"/>
      <c r="G22" s="88"/>
      <c r="H22" s="86" t="str">
        <f>Database!$D36</f>
        <v>07</v>
      </c>
      <c r="I22" s="129"/>
      <c r="J22" s="133"/>
      <c r="K22" s="134"/>
      <c r="L22" s="77"/>
      <c r="M22" s="129"/>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c r="IR22" s="81"/>
      <c r="IS22" s="81"/>
      <c r="IT22" s="81"/>
      <c r="IU22" s="81"/>
      <c r="IV22" s="81"/>
    </row>
    <row r="23" spans="1:256" x14ac:dyDescent="0.25">
      <c r="A23" s="118"/>
      <c r="B23" s="116"/>
      <c r="C23" s="119"/>
      <c r="D23" s="87"/>
      <c r="E23" s="87"/>
      <c r="F23" s="87"/>
      <c r="G23" s="87"/>
      <c r="H23" s="87"/>
      <c r="I23" s="129"/>
      <c r="J23" s="133"/>
      <c r="K23" s="134"/>
      <c r="L23" s="77"/>
      <c r="M23" s="129"/>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c r="IR23" s="81"/>
      <c r="IS23" s="81"/>
      <c r="IT23" s="81"/>
      <c r="IU23" s="81"/>
      <c r="IV23" s="81"/>
    </row>
    <row r="24" spans="1:256" ht="13" x14ac:dyDescent="0.3">
      <c r="A24" s="73" t="str">
        <f>'Date Drivers'!A50</f>
        <v>Hardware Design Suffix</v>
      </c>
      <c r="B24" s="68"/>
      <c r="C24" s="79"/>
      <c r="D24" s="85"/>
      <c r="E24" s="88"/>
      <c r="F24" s="88"/>
      <c r="G24" s="88"/>
      <c r="H24" s="88"/>
      <c r="I24" s="129"/>
      <c r="J24" s="133"/>
      <c r="K24" s="134"/>
      <c r="L24" s="77"/>
      <c r="M24" s="129"/>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c r="IR24" s="81"/>
      <c r="IS24" s="81"/>
      <c r="IT24" s="81"/>
      <c r="IU24" s="81"/>
      <c r="IV24" s="81"/>
    </row>
    <row r="25" spans="1:256" x14ac:dyDescent="0.25">
      <c r="A25" s="78" t="str">
        <f>Database!C44</f>
        <v>Hardware release version</v>
      </c>
      <c r="B25" s="79"/>
      <c r="C25" s="79"/>
      <c r="D25" s="85"/>
      <c r="E25" s="88"/>
      <c r="F25" s="88"/>
      <c r="G25" s="88"/>
      <c r="H25" s="88"/>
      <c r="I25" s="86" t="str">
        <f>Database!$D44</f>
        <v>B</v>
      </c>
      <c r="J25" s="133"/>
      <c r="K25" s="134"/>
      <c r="L25" s="77"/>
      <c r="M25" s="129"/>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c r="IR25" s="81"/>
      <c r="IS25" s="81"/>
      <c r="IT25" s="81"/>
      <c r="IU25" s="81"/>
      <c r="IV25" s="81"/>
    </row>
    <row r="26" spans="1:256" x14ac:dyDescent="0.25">
      <c r="A26" s="82"/>
      <c r="B26" s="89"/>
      <c r="C26" s="89"/>
      <c r="D26" s="109"/>
      <c r="E26" s="109"/>
      <c r="F26" s="109"/>
      <c r="G26" s="109"/>
      <c r="H26" s="109"/>
      <c r="I26" s="112"/>
      <c r="J26" s="135"/>
      <c r="K26" s="134"/>
      <c r="L26" s="77"/>
      <c r="M26" s="129"/>
    </row>
    <row r="27" spans="1:256" x14ac:dyDescent="0.25">
      <c r="A27" s="136"/>
      <c r="B27" s="137"/>
      <c r="C27" s="137"/>
      <c r="D27" s="138"/>
      <c r="E27" s="138"/>
      <c r="F27" s="138"/>
      <c r="G27" s="138"/>
      <c r="H27" s="138"/>
      <c r="I27" s="138"/>
      <c r="J27" s="112"/>
      <c r="K27" s="134"/>
      <c r="L27" s="77"/>
      <c r="M27" s="129"/>
    </row>
    <row r="28" spans="1:256" ht="13" x14ac:dyDescent="0.3">
      <c r="A28" s="73" t="str">
        <f>'Date Drivers'!A62</f>
        <v>GPS Antenna</v>
      </c>
      <c r="B28" s="54"/>
      <c r="C28" s="54"/>
      <c r="D28" s="64"/>
      <c r="E28" s="64"/>
      <c r="F28" s="64"/>
      <c r="G28" s="64"/>
      <c r="H28" s="64"/>
      <c r="I28" s="139"/>
      <c r="J28" s="64"/>
      <c r="K28" s="134"/>
      <c r="L28" s="77"/>
      <c r="M28" s="129"/>
    </row>
    <row r="29" spans="1:256" x14ac:dyDescent="0.25">
      <c r="A29" s="78" t="str">
        <f>Database!C51</f>
        <v>Without antenna</v>
      </c>
      <c r="B29" s="54"/>
      <c r="C29" s="54"/>
      <c r="D29" s="64"/>
      <c r="E29" s="64"/>
      <c r="F29" s="64"/>
      <c r="G29" s="64"/>
      <c r="H29" s="64"/>
      <c r="I29" s="64"/>
      <c r="J29" s="64"/>
      <c r="K29" s="86">
        <f>Database!$D51</f>
        <v>0</v>
      </c>
      <c r="L29" s="77"/>
      <c r="M29" s="129"/>
    </row>
    <row r="30" spans="1:256" x14ac:dyDescent="0.25">
      <c r="A30" s="78" t="str">
        <f>Database!C52</f>
        <v>3.3V TNC Female active GNSS antenna</v>
      </c>
      <c r="B30" s="54"/>
      <c r="C30" s="54"/>
      <c r="D30" s="64"/>
      <c r="E30" s="64"/>
      <c r="F30" s="64"/>
      <c r="G30" s="64"/>
      <c r="H30" s="64"/>
      <c r="I30" s="64"/>
      <c r="J30" s="64"/>
      <c r="K30" s="86">
        <f>Database!$D52</f>
        <v>2</v>
      </c>
      <c r="L30" s="77"/>
      <c r="M30" s="129"/>
    </row>
    <row r="31" spans="1:256" x14ac:dyDescent="0.25">
      <c r="A31" s="140"/>
      <c r="B31" s="89"/>
      <c r="C31" s="89"/>
      <c r="D31" s="109"/>
      <c r="E31" s="109"/>
      <c r="F31" s="109"/>
      <c r="G31" s="109"/>
      <c r="H31" s="109"/>
      <c r="I31" s="109"/>
      <c r="J31" s="109"/>
      <c r="K31" s="109"/>
      <c r="L31" s="77"/>
      <c r="M31" s="129"/>
    </row>
    <row r="32" spans="1:256" ht="13" x14ac:dyDescent="0.3">
      <c r="A32" s="73" t="str">
        <f>'Date Drivers'!A74</f>
        <v>Antenna Cable</v>
      </c>
      <c r="B32" s="54"/>
      <c r="C32" s="54"/>
      <c r="D32" s="64"/>
      <c r="E32" s="64"/>
      <c r="F32" s="64"/>
      <c r="G32" s="64"/>
      <c r="H32" s="64"/>
      <c r="I32" s="64"/>
      <c r="J32" s="64"/>
      <c r="K32" s="64"/>
      <c r="L32" s="77"/>
      <c r="M32" s="129"/>
    </row>
    <row r="33" spans="1:13" x14ac:dyDescent="0.25">
      <c r="A33" s="78" t="str">
        <f>Database!C58</f>
        <v>No cable</v>
      </c>
      <c r="B33" s="54"/>
      <c r="C33" s="54"/>
      <c r="D33" s="64"/>
      <c r="E33" s="64"/>
      <c r="F33" s="64"/>
      <c r="G33" s="64"/>
      <c r="H33" s="64"/>
      <c r="I33" s="64"/>
      <c r="J33" s="64"/>
      <c r="K33" s="64"/>
      <c r="L33" s="86">
        <f>Database!$D58</f>
        <v>0</v>
      </c>
      <c r="M33" s="129"/>
    </row>
    <row r="34" spans="1:13" x14ac:dyDescent="0.25">
      <c r="A34" s="78" t="str">
        <f>Database!C59</f>
        <v>25 m (82 ft) TNC Male to BNC Male (Attennuation &lt; 0.5 dB/m @ 1500 MHZ)</v>
      </c>
      <c r="B34" s="54"/>
      <c r="C34" s="54"/>
      <c r="D34" s="64"/>
      <c r="E34" s="64"/>
      <c r="F34" s="64"/>
      <c r="G34" s="64"/>
      <c r="H34" s="64"/>
      <c r="I34" s="64"/>
      <c r="J34" s="64"/>
      <c r="K34" s="64"/>
      <c r="L34" s="86">
        <f>Database!$D59</f>
        <v>2</v>
      </c>
      <c r="M34" s="129"/>
    </row>
    <row r="35" spans="1:13" x14ac:dyDescent="0.25">
      <c r="A35" s="78" t="str">
        <f>Database!C60</f>
        <v>40 m (131 ft) TNC Male to BNC Male (Attennuation &lt; 0.5 dB/m @ 1500 MHZ)</v>
      </c>
      <c r="B35" s="54"/>
      <c r="C35" s="54"/>
      <c r="D35" s="64"/>
      <c r="E35" s="64"/>
      <c r="F35" s="64"/>
      <c r="G35" s="64"/>
      <c r="H35" s="64"/>
      <c r="I35" s="64"/>
      <c r="J35" s="64"/>
      <c r="K35" s="64"/>
      <c r="L35" s="86">
        <f>Database!$D60</f>
        <v>3</v>
      </c>
      <c r="M35" s="129"/>
    </row>
    <row r="36" spans="1:13" x14ac:dyDescent="0.25">
      <c r="A36" s="78" t="str">
        <f>Database!C61</f>
        <v>100 m (328 ft) TNC Male to BNC Male (Attennuation &lt; 0.2 dB/m @ 1500 MHZ)</v>
      </c>
      <c r="B36" s="54"/>
      <c r="C36" s="54"/>
      <c r="D36" s="64"/>
      <c r="E36" s="64"/>
      <c r="F36" s="64"/>
      <c r="G36" s="64"/>
      <c r="H36" s="64"/>
      <c r="I36" s="64"/>
      <c r="J36" s="64"/>
      <c r="K36" s="64"/>
      <c r="L36" s="86">
        <f>Database!$D61</f>
        <v>5</v>
      </c>
      <c r="M36" s="129"/>
    </row>
    <row r="37" spans="1:13" x14ac:dyDescent="0.25">
      <c r="A37" s="82"/>
      <c r="B37" s="89"/>
      <c r="C37" s="89"/>
      <c r="D37" s="109"/>
      <c r="E37" s="109"/>
      <c r="F37" s="109"/>
      <c r="G37" s="109"/>
      <c r="H37" s="109"/>
      <c r="I37" s="109"/>
      <c r="J37" s="109"/>
      <c r="K37" s="109"/>
      <c r="L37" s="87"/>
      <c r="M37" s="129"/>
    </row>
    <row r="38" spans="1:13" ht="13" x14ac:dyDescent="0.3">
      <c r="A38" s="73" t="str">
        <f>'Date Drivers'!A92</f>
        <v>Surge Arrester</v>
      </c>
      <c r="B38" s="54"/>
      <c r="C38" s="54"/>
      <c r="D38" s="64"/>
      <c r="E38" s="64"/>
      <c r="F38" s="64"/>
      <c r="G38" s="64"/>
      <c r="H38" s="64"/>
      <c r="I38" s="64"/>
      <c r="J38" s="64"/>
      <c r="K38" s="64"/>
      <c r="L38" s="64"/>
      <c r="M38" s="129"/>
    </row>
    <row r="39" spans="1:13" x14ac:dyDescent="0.25">
      <c r="A39" s="78" t="str">
        <f>Database!C70</f>
        <v>Without surge arrester</v>
      </c>
      <c r="B39" s="54"/>
      <c r="C39" s="54"/>
      <c r="D39" s="64"/>
      <c r="E39" s="64"/>
      <c r="F39" s="64"/>
      <c r="G39" s="64"/>
      <c r="H39" s="64"/>
      <c r="I39" s="64"/>
      <c r="J39" s="64"/>
      <c r="K39" s="64"/>
      <c r="L39" s="64"/>
      <c r="M39" s="86">
        <f>Database!$D70</f>
        <v>0</v>
      </c>
    </row>
    <row r="40" spans="1:13" x14ac:dyDescent="0.25">
      <c r="A40" s="141" t="str">
        <f>Database!C71</f>
        <v>10 kA, 50 Ohms, BNC-type connector Surge Arrester for 0-2000 MHz</v>
      </c>
      <c r="B40" s="54"/>
      <c r="C40" s="54"/>
      <c r="D40" s="64"/>
      <c r="E40" s="64"/>
      <c r="F40" s="64"/>
      <c r="G40" s="64"/>
      <c r="H40" s="64"/>
      <c r="I40" s="64"/>
      <c r="J40" s="64"/>
      <c r="K40" s="64"/>
      <c r="L40" s="64"/>
      <c r="M40" s="86">
        <f>Database!$D71</f>
        <v>1</v>
      </c>
    </row>
    <row r="41" spans="1:13" x14ac:dyDescent="0.25">
      <c r="A41" s="140"/>
      <c r="B41" s="89"/>
      <c r="C41" s="89"/>
      <c r="D41" s="109"/>
      <c r="E41" s="109"/>
      <c r="F41" s="109"/>
      <c r="G41" s="109"/>
      <c r="H41" s="109"/>
      <c r="I41" s="109"/>
      <c r="J41" s="109"/>
      <c r="K41" s="109"/>
      <c r="L41" s="109"/>
      <c r="M41" s="112"/>
    </row>
  </sheetData>
  <sheetProtection algorithmName="SHA-512" hashValue="QkrfuF/y/s0p1GKf3seoJKT800sNDOX9rmvS0ye7xEHSB0jVds9KwHtMr4r70QswXAoIlpYG+xMdrWJ/2al+HQ==" saltValue="IOt0urdEHSCqpt5FL3JTww==" spinCount="100000" sheet="1" objects="1" scenarios="1"/>
  <mergeCells count="2">
    <mergeCell ref="K3:M3"/>
    <mergeCell ref="B3:G3"/>
  </mergeCells>
  <pageMargins left="0.7" right="0.7" top="0.75" bottom="0.75" header="0.3" footer="0.3"/>
  <pageSetup paperSize="9" orientation="landscape"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O20"/>
  <sheetViews>
    <sheetView showGridLines="0" showRowColHeaders="0" workbookViewId="0">
      <pane ySplit="3" topLeftCell="A4" activePane="bottomLeft" state="frozen"/>
      <selection pane="bottomLeft" activeCell="V17" sqref="V17"/>
    </sheetView>
  </sheetViews>
  <sheetFormatPr defaultColWidth="9.1796875" defaultRowHeight="14" x14ac:dyDescent="0.3"/>
  <cols>
    <col min="1" max="4" width="9.1796875" style="2"/>
    <col min="5" max="5" width="26.453125" style="2" customWidth="1"/>
    <col min="6" max="6" width="9.7265625" style="2" bestFit="1" customWidth="1"/>
    <col min="7" max="7" width="3.7265625" style="33" customWidth="1"/>
    <col min="8" max="9" width="3.26953125" style="33" customWidth="1"/>
    <col min="10" max="10" width="4.54296875" style="33" bestFit="1" customWidth="1"/>
    <col min="11" max="11" width="3.26953125" style="33" customWidth="1"/>
    <col min="12" max="14" width="3.26953125" style="2" bestFit="1" customWidth="1"/>
    <col min="15" max="15" width="5" style="2" customWidth="1"/>
    <col min="16" max="16384" width="9.1796875" style="2"/>
  </cols>
  <sheetData>
    <row r="1" spans="1:15" ht="18" x14ac:dyDescent="0.4">
      <c r="A1" s="96" t="str">
        <f>Database!A2</f>
        <v>RT431 GPS Precision-Time Clock</v>
      </c>
      <c r="B1" s="97"/>
      <c r="C1" s="97"/>
      <c r="D1" s="97"/>
      <c r="E1" s="97"/>
      <c r="F1" s="97"/>
      <c r="G1" s="98"/>
      <c r="H1" s="98"/>
      <c r="I1" s="98"/>
      <c r="J1" s="98"/>
      <c r="K1" s="98"/>
      <c r="L1" s="97"/>
      <c r="M1" s="97"/>
      <c r="N1" s="97"/>
      <c r="O1" s="177"/>
    </row>
    <row r="2" spans="1:15" x14ac:dyDescent="0.3">
      <c r="A2" s="99"/>
      <c r="B2" s="44"/>
      <c r="C2" s="44"/>
      <c r="D2" s="44"/>
      <c r="E2" s="44"/>
      <c r="F2" s="62" t="s">
        <v>10</v>
      </c>
      <c r="G2" s="63">
        <v>6</v>
      </c>
      <c r="H2" s="63">
        <v>7</v>
      </c>
      <c r="I2" s="63">
        <v>8</v>
      </c>
      <c r="J2" s="122" t="s">
        <v>24</v>
      </c>
      <c r="K2" s="63">
        <v>11</v>
      </c>
      <c r="L2" s="176">
        <v>12</v>
      </c>
      <c r="M2" s="176">
        <v>13</v>
      </c>
      <c r="N2" s="176">
        <v>14</v>
      </c>
      <c r="O2" s="57"/>
    </row>
    <row r="3" spans="1:15" s="42" customFormat="1" ht="18" x14ac:dyDescent="0.4">
      <c r="A3" s="100"/>
      <c r="B3" s="45"/>
      <c r="C3" s="45"/>
      <c r="D3" s="45"/>
      <c r="E3" s="46"/>
      <c r="F3" s="43" t="s">
        <v>25</v>
      </c>
      <c r="G3" s="34">
        <f>$G$5</f>
        <v>3</v>
      </c>
      <c r="H3" s="34" t="str">
        <f>$G$7</f>
        <v>P</v>
      </c>
      <c r="I3" s="34" t="str">
        <f>$G$9</f>
        <v>C</v>
      </c>
      <c r="J3" s="34" t="str">
        <f>$G$11</f>
        <v>08</v>
      </c>
      <c r="K3" s="34" t="str">
        <f>$G$13</f>
        <v>B</v>
      </c>
      <c r="L3" s="34">
        <f>$G$15</f>
        <v>2</v>
      </c>
      <c r="M3" s="34">
        <f>$G$17</f>
        <v>5</v>
      </c>
      <c r="N3" s="34">
        <f>$G$19</f>
        <v>1</v>
      </c>
      <c r="O3" s="178"/>
    </row>
    <row r="4" spans="1:15" ht="18" customHeight="1" x14ac:dyDescent="0.35">
      <c r="A4" s="104" t="str">
        <f>Database!$A$3</f>
        <v>Power Supply</v>
      </c>
      <c r="B4" s="60"/>
      <c r="C4" s="49"/>
      <c r="D4" s="49"/>
      <c r="E4" s="49"/>
      <c r="F4" s="49"/>
      <c r="G4" s="147"/>
      <c r="H4" s="149"/>
      <c r="I4" s="35"/>
      <c r="J4" s="36"/>
      <c r="K4" s="148"/>
      <c r="L4" s="171"/>
      <c r="M4" s="167"/>
      <c r="N4" s="159"/>
      <c r="O4" s="57"/>
    </row>
    <row r="5" spans="1:15" ht="26.25" customHeight="1" x14ac:dyDescent="0.3">
      <c r="A5" s="101"/>
      <c r="B5" s="49"/>
      <c r="C5" s="49"/>
      <c r="D5" s="102"/>
      <c r="E5" s="49"/>
      <c r="F5" s="49"/>
      <c r="G5" s="34">
        <f>Database!D5</f>
        <v>3</v>
      </c>
      <c r="H5" s="149"/>
      <c r="I5" s="35"/>
      <c r="J5" s="36"/>
      <c r="K5" s="148"/>
      <c r="L5" s="171"/>
      <c r="M5" s="167"/>
      <c r="N5" s="159"/>
      <c r="O5" s="57"/>
    </row>
    <row r="6" spans="1:15" ht="18" customHeight="1" x14ac:dyDescent="0.3">
      <c r="A6" s="104" t="str">
        <f>Database!A10</f>
        <v>Ethernet Interface</v>
      </c>
      <c r="B6" s="49"/>
      <c r="C6" s="49"/>
      <c r="D6" s="49"/>
      <c r="E6" s="49"/>
      <c r="F6" s="49"/>
      <c r="G6" s="150"/>
      <c r="H6" s="149"/>
      <c r="I6" s="35"/>
      <c r="J6" s="36"/>
      <c r="K6" s="148"/>
      <c r="L6" s="171"/>
      <c r="M6" s="167"/>
      <c r="N6" s="159"/>
      <c r="O6" s="57"/>
    </row>
    <row r="7" spans="1:15" ht="46.5" customHeight="1" x14ac:dyDescent="0.3">
      <c r="A7" s="101"/>
      <c r="B7" s="49"/>
      <c r="C7" s="49"/>
      <c r="D7" s="49"/>
      <c r="E7" s="49"/>
      <c r="F7" s="49"/>
      <c r="G7" s="37" t="str">
        <f>Database!$D$10</f>
        <v>P</v>
      </c>
      <c r="H7" s="149"/>
      <c r="I7" s="35"/>
      <c r="J7" s="36"/>
      <c r="K7" s="148"/>
      <c r="L7" s="171"/>
      <c r="M7" s="167"/>
      <c r="N7" s="159"/>
      <c r="O7" s="57"/>
    </row>
    <row r="8" spans="1:15" ht="18" customHeight="1" x14ac:dyDescent="0.3">
      <c r="A8" s="104" t="str">
        <f>Database!A22</f>
        <v>Customization / Regionalisation</v>
      </c>
      <c r="B8" s="105"/>
      <c r="C8" s="49"/>
      <c r="D8" s="49"/>
      <c r="E8" s="49"/>
      <c r="F8" s="49"/>
      <c r="G8" s="40"/>
      <c r="H8" s="38"/>
      <c r="I8" s="35"/>
      <c r="J8" s="36"/>
      <c r="K8" s="148"/>
      <c r="L8" s="171"/>
      <c r="M8" s="167"/>
      <c r="N8" s="159"/>
      <c r="O8" s="57"/>
    </row>
    <row r="9" spans="1:15" ht="25.5" customHeight="1" x14ac:dyDescent="0.3">
      <c r="A9" s="101"/>
      <c r="B9" s="49"/>
      <c r="C9" s="49"/>
      <c r="D9" s="49"/>
      <c r="E9" s="49"/>
      <c r="F9" s="49"/>
      <c r="G9" s="37" t="str">
        <f>Database!$D$22</f>
        <v>C</v>
      </c>
      <c r="H9" s="103"/>
      <c r="I9" s="35"/>
      <c r="J9" s="36"/>
      <c r="K9" s="148"/>
      <c r="L9" s="171"/>
      <c r="M9" s="167"/>
      <c r="N9" s="159"/>
      <c r="O9" s="57"/>
    </row>
    <row r="10" spans="1:15" ht="18" customHeight="1" x14ac:dyDescent="0.35">
      <c r="A10" s="104" t="str">
        <f>Database!A34</f>
        <v>Firmware Version</v>
      </c>
      <c r="B10" s="60"/>
      <c r="C10" s="106"/>
      <c r="D10" s="49"/>
      <c r="E10" s="49"/>
      <c r="F10" s="49"/>
      <c r="G10" s="41"/>
      <c r="H10" s="39"/>
      <c r="I10" s="39"/>
      <c r="J10" s="36"/>
      <c r="K10" s="148"/>
      <c r="L10" s="171"/>
      <c r="M10" s="167"/>
      <c r="N10" s="159"/>
      <c r="O10" s="57"/>
    </row>
    <row r="11" spans="1:15" ht="26.25" customHeight="1" x14ac:dyDescent="0.3">
      <c r="A11" s="101"/>
      <c r="B11" s="49"/>
      <c r="C11" s="49"/>
      <c r="D11" s="49"/>
      <c r="E11" s="49"/>
      <c r="F11" s="49"/>
      <c r="G11" s="34" t="str">
        <f>Database!$D$34</f>
        <v>08</v>
      </c>
      <c r="H11" s="113"/>
      <c r="I11" s="114"/>
      <c r="J11" s="36"/>
      <c r="K11" s="148"/>
      <c r="L11" s="171"/>
      <c r="M11" s="167"/>
      <c r="N11" s="159"/>
      <c r="O11" s="57"/>
    </row>
    <row r="12" spans="1:15" ht="17.25" customHeight="1" x14ac:dyDescent="0.3">
      <c r="A12" s="104" t="str">
        <f>Database!$A$43</f>
        <v>Hardware Design Suffix</v>
      </c>
      <c r="B12" s="49"/>
      <c r="C12" s="49"/>
      <c r="D12" s="49"/>
      <c r="E12" s="49"/>
      <c r="F12" s="49"/>
      <c r="G12" s="154"/>
      <c r="H12" s="152"/>
      <c r="I12" s="152"/>
      <c r="J12" s="152"/>
      <c r="K12" s="148"/>
      <c r="L12" s="171"/>
      <c r="M12" s="167"/>
      <c r="N12" s="159"/>
      <c r="O12" s="57"/>
    </row>
    <row r="13" spans="1:15" ht="24" customHeight="1" x14ac:dyDescent="0.3">
      <c r="A13" s="101"/>
      <c r="B13" s="49"/>
      <c r="C13" s="49"/>
      <c r="D13" s="49"/>
      <c r="E13" s="49"/>
      <c r="F13" s="49"/>
      <c r="G13" s="34" t="str">
        <f>Database!$D$43</f>
        <v>B</v>
      </c>
      <c r="H13" s="153"/>
      <c r="I13" s="153"/>
      <c r="J13" s="153"/>
      <c r="K13" s="151"/>
      <c r="L13" s="171"/>
      <c r="M13" s="167"/>
      <c r="N13" s="159"/>
      <c r="O13" s="57"/>
    </row>
    <row r="14" spans="1:15" ht="17.25" customHeight="1" x14ac:dyDescent="0.3">
      <c r="A14" s="104" t="str">
        <f>Database!$A$50</f>
        <v>GPS Antenna</v>
      </c>
      <c r="B14" s="49"/>
      <c r="C14" s="49"/>
      <c r="D14" s="49"/>
      <c r="E14" s="49"/>
      <c r="F14" s="49"/>
      <c r="G14" s="156"/>
      <c r="H14" s="155"/>
      <c r="I14" s="155"/>
      <c r="J14" s="155"/>
      <c r="K14" s="160"/>
      <c r="L14" s="171"/>
      <c r="M14" s="167"/>
      <c r="N14" s="159"/>
      <c r="O14" s="57"/>
    </row>
    <row r="15" spans="1:15" ht="24" customHeight="1" x14ac:dyDescent="0.3">
      <c r="A15" s="101"/>
      <c r="B15" s="49"/>
      <c r="C15" s="49"/>
      <c r="D15" s="49"/>
      <c r="E15" s="49"/>
      <c r="F15" s="49"/>
      <c r="G15" s="34">
        <f>Database!$D$50</f>
        <v>2</v>
      </c>
      <c r="H15" s="172"/>
      <c r="I15" s="172"/>
      <c r="J15" s="172"/>
      <c r="K15" s="172"/>
      <c r="L15" s="173"/>
      <c r="M15" s="167"/>
      <c r="N15" s="159"/>
      <c r="O15" s="57"/>
    </row>
    <row r="16" spans="1:15" ht="17.25" customHeight="1" x14ac:dyDescent="0.3">
      <c r="A16" s="104" t="str">
        <f>Database!$A$57</f>
        <v>Antenna Cable</v>
      </c>
      <c r="B16" s="49"/>
      <c r="C16" s="49"/>
      <c r="D16" s="49"/>
      <c r="E16" s="49"/>
      <c r="F16" s="49"/>
      <c r="G16" s="158"/>
      <c r="H16" s="161"/>
      <c r="I16" s="161"/>
      <c r="J16" s="161"/>
      <c r="K16" s="157"/>
      <c r="L16" s="175"/>
      <c r="M16" s="167"/>
      <c r="N16" s="159"/>
      <c r="O16" s="57"/>
    </row>
    <row r="17" spans="1:15" ht="50.5" customHeight="1" x14ac:dyDescent="0.3">
      <c r="A17" s="101"/>
      <c r="B17" s="49"/>
      <c r="C17" s="49"/>
      <c r="D17" s="49"/>
      <c r="E17" s="49"/>
      <c r="F17" s="49"/>
      <c r="G17" s="34">
        <f>Database!$D$57</f>
        <v>5</v>
      </c>
      <c r="H17" s="168"/>
      <c r="I17" s="168"/>
      <c r="J17" s="168"/>
      <c r="K17" s="168"/>
      <c r="L17" s="169"/>
      <c r="M17" s="170"/>
      <c r="N17" s="159"/>
      <c r="O17" s="57"/>
    </row>
    <row r="18" spans="1:15" ht="17.25" customHeight="1" x14ac:dyDescent="0.3">
      <c r="A18" s="104" t="str">
        <f>Database!$A$69</f>
        <v>Surge Arrester</v>
      </c>
      <c r="B18" s="49"/>
      <c r="C18" s="49"/>
      <c r="D18" s="49"/>
      <c r="E18" s="49"/>
      <c r="F18" s="49"/>
      <c r="G18" s="174"/>
      <c r="H18" s="162"/>
      <c r="I18" s="162"/>
      <c r="J18" s="162"/>
      <c r="K18" s="162"/>
      <c r="L18" s="163"/>
      <c r="M18" s="163"/>
      <c r="N18" s="159"/>
      <c r="O18" s="57"/>
    </row>
    <row r="19" spans="1:15" ht="24" customHeight="1" x14ac:dyDescent="0.3">
      <c r="A19" s="101"/>
      <c r="B19" s="49"/>
      <c r="C19" s="49"/>
      <c r="D19" s="49"/>
      <c r="E19" s="49"/>
      <c r="F19" s="49"/>
      <c r="G19" s="34">
        <f>Database!D69</f>
        <v>1</v>
      </c>
      <c r="H19" s="164"/>
      <c r="I19" s="164"/>
      <c r="J19" s="164"/>
      <c r="K19" s="164"/>
      <c r="L19" s="165"/>
      <c r="M19" s="165"/>
      <c r="N19" s="166"/>
      <c r="O19" s="57"/>
    </row>
    <row r="20" spans="1:15" ht="23.25" customHeight="1" thickBot="1" x14ac:dyDescent="0.35">
      <c r="A20" s="179"/>
      <c r="B20" s="58"/>
      <c r="C20" s="58"/>
      <c r="D20" s="58"/>
      <c r="E20" s="58"/>
      <c r="F20" s="58"/>
      <c r="G20" s="180"/>
      <c r="H20" s="180"/>
      <c r="I20" s="180"/>
      <c r="J20" s="180"/>
      <c r="K20" s="180"/>
      <c r="L20" s="58"/>
      <c r="M20" s="58"/>
      <c r="N20" s="58"/>
      <c r="O20" s="59"/>
    </row>
  </sheetData>
  <sheetProtection algorithmName="SHA-512" hashValue="CHlbGOHdy37O9qydQpm2qAZg6loCKT9dyyNtdKz7lgsXt7ZsMvnRvEfiWjIK8akgHwY8vfOfpS2vFvPBemnl4A==" saltValue="hWhYJnBdbuSdYDJW3WHwGA==" spinCount="100000" sheet="1" objects="1" scenarios="1"/>
  <phoneticPr fontId="19" type="noConversion"/>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List Box 2">
              <controlPr defaultSize="0" autoLine="0" autoPict="0">
                <anchor moveWithCells="1">
                  <from>
                    <xdr:col>0</xdr:col>
                    <xdr:colOff>0</xdr:colOff>
                    <xdr:row>4</xdr:row>
                    <xdr:rowOff>0</xdr:rowOff>
                  </from>
                  <to>
                    <xdr:col>6</xdr:col>
                    <xdr:colOff>0</xdr:colOff>
                    <xdr:row>5</xdr:row>
                    <xdr:rowOff>0</xdr:rowOff>
                  </to>
                </anchor>
              </controlPr>
            </control>
          </mc:Choice>
        </mc:AlternateContent>
        <mc:AlternateContent xmlns:mc="http://schemas.openxmlformats.org/markup-compatibility/2006">
          <mc:Choice Requires="x14">
            <control shapeId="8197" r:id="rId5" name="List Box 5">
              <controlPr defaultSize="0" autoLine="0" autoPict="0">
                <anchor moveWithCells="1">
                  <from>
                    <xdr:col>0</xdr:col>
                    <xdr:colOff>0</xdr:colOff>
                    <xdr:row>6</xdr:row>
                    <xdr:rowOff>0</xdr:rowOff>
                  </from>
                  <to>
                    <xdr:col>6</xdr:col>
                    <xdr:colOff>0</xdr:colOff>
                    <xdr:row>7</xdr:row>
                    <xdr:rowOff>0</xdr:rowOff>
                  </to>
                </anchor>
              </controlPr>
            </control>
          </mc:Choice>
        </mc:AlternateContent>
        <mc:AlternateContent xmlns:mc="http://schemas.openxmlformats.org/markup-compatibility/2006">
          <mc:Choice Requires="x14">
            <control shapeId="8199" r:id="rId6" name="List Box 7">
              <controlPr defaultSize="0" autoLine="0" autoPict="0">
                <anchor moveWithCells="1">
                  <from>
                    <xdr:col>0</xdr:col>
                    <xdr:colOff>0</xdr:colOff>
                    <xdr:row>8</xdr:row>
                    <xdr:rowOff>0</xdr:rowOff>
                  </from>
                  <to>
                    <xdr:col>6</xdr:col>
                    <xdr:colOff>0</xdr:colOff>
                    <xdr:row>9</xdr:row>
                    <xdr:rowOff>0</xdr:rowOff>
                  </to>
                </anchor>
              </controlPr>
            </control>
          </mc:Choice>
        </mc:AlternateContent>
        <mc:AlternateContent xmlns:mc="http://schemas.openxmlformats.org/markup-compatibility/2006">
          <mc:Choice Requires="x14">
            <control shapeId="8205" r:id="rId7" name="List Box 13">
              <controlPr defaultSize="0" autoLine="0" autoPict="0">
                <anchor moveWithCells="1">
                  <from>
                    <xdr:col>0</xdr:col>
                    <xdr:colOff>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8207" r:id="rId8" name="List Box 15">
              <controlPr defaultSize="0" autoLine="0" autoPict="0">
                <anchor moveWithCells="1">
                  <from>
                    <xdr:col>0</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8237" r:id="rId9" name="List Box 45">
              <controlPr defaultSize="0" autoLine="0" autoPict="0">
                <anchor moveWithCells="1">
                  <from>
                    <xdr:col>0</xdr:col>
                    <xdr:colOff>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8239" r:id="rId10" name="List Box 47">
              <controlPr defaultSize="0" autoLine="0" autoPict="0">
                <anchor moveWithCells="1">
                  <from>
                    <xdr:col>0</xdr:col>
                    <xdr:colOff>0</xdr:colOff>
                    <xdr:row>16</xdr:row>
                    <xdr:rowOff>0</xdr:rowOff>
                  </from>
                  <to>
                    <xdr:col>6</xdr:col>
                    <xdr:colOff>0</xdr:colOff>
                    <xdr:row>16</xdr:row>
                    <xdr:rowOff>628650</xdr:rowOff>
                  </to>
                </anchor>
              </controlPr>
            </control>
          </mc:Choice>
        </mc:AlternateContent>
        <mc:AlternateContent xmlns:mc="http://schemas.openxmlformats.org/markup-compatibility/2006">
          <mc:Choice Requires="x14">
            <control shapeId="8241" r:id="rId11" name="List Box 49">
              <controlPr defaultSize="0" autoLine="0" autoPict="0">
                <anchor moveWithCells="1">
                  <from>
                    <xdr:col>0</xdr:col>
                    <xdr:colOff>0</xdr:colOff>
                    <xdr:row>18</xdr:row>
                    <xdr:rowOff>0</xdr:rowOff>
                  </from>
                  <to>
                    <xdr:col>6</xdr:col>
                    <xdr:colOff>0</xdr:colOff>
                    <xdr:row>19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35"/>
  <sheetViews>
    <sheetView showGridLines="0" showRowColHeaders="0" workbookViewId="0">
      <pane ySplit="1" topLeftCell="A2" activePane="bottomLeft" state="frozen"/>
      <selection pane="bottomLeft" activeCell="C34" sqref="C34"/>
    </sheetView>
  </sheetViews>
  <sheetFormatPr defaultColWidth="9.1796875" defaultRowHeight="14" x14ac:dyDescent="0.3"/>
  <cols>
    <col min="1" max="1" width="8.54296875" style="2" customWidth="1"/>
    <col min="2" max="2" width="5.81640625" style="2" customWidth="1"/>
    <col min="3" max="3" width="97.7265625" style="2" customWidth="1"/>
    <col min="4" max="4" width="27.7265625" style="2" customWidth="1"/>
    <col min="5" max="5" width="9.1796875" style="2"/>
    <col min="6" max="9" width="9.1796875" style="49"/>
    <col min="10" max="10" width="27.453125" style="49" customWidth="1"/>
    <col min="11" max="11" width="9.1796875" style="49"/>
    <col min="12" max="16384" width="9.1796875" style="2"/>
  </cols>
  <sheetData>
    <row r="1" spans="1:5" ht="15.5" x14ac:dyDescent="0.35">
      <c r="A1" s="51" t="str">
        <f>Database!$C$2</f>
        <v>RT4313PC08B251</v>
      </c>
      <c r="B1" s="52"/>
      <c r="C1" s="52"/>
      <c r="D1" s="126"/>
      <c r="E1" s="123"/>
    </row>
    <row r="2" spans="1:5" x14ac:dyDescent="0.3">
      <c r="A2" s="48" t="str">
        <f>Database!$A$2</f>
        <v>RT431 GPS Precision-Time Clock</v>
      </c>
      <c r="B2" s="49"/>
      <c r="C2" s="49"/>
      <c r="D2" s="57"/>
      <c r="E2" s="49"/>
    </row>
    <row r="3" spans="1:5" x14ac:dyDescent="0.3">
      <c r="A3" s="48" t="str">
        <f>Database!$A$3</f>
        <v>Power Supply</v>
      </c>
      <c r="B3" s="49"/>
      <c r="C3" s="49"/>
      <c r="D3" s="57"/>
      <c r="E3" s="49"/>
    </row>
    <row r="4" spans="1:5" x14ac:dyDescent="0.3">
      <c r="A4" s="107" t="str">
        <f>Database!$C$3</f>
        <v>100-250 Vdc / 110-240 Vac</v>
      </c>
      <c r="B4" s="49"/>
      <c r="C4" s="49"/>
      <c r="D4" s="57"/>
      <c r="E4" s="49"/>
    </row>
    <row r="5" spans="1:5" x14ac:dyDescent="0.3">
      <c r="A5" s="48" t="str">
        <f>Database!$A$10</f>
        <v>Ethernet Interface</v>
      </c>
      <c r="B5" s="49"/>
      <c r="C5" s="49"/>
      <c r="D5" s="57"/>
      <c r="E5" s="49"/>
    </row>
    <row r="6" spans="1:5" x14ac:dyDescent="0.3">
      <c r="A6" s="50" t="str">
        <f>Database!$C$10</f>
        <v>RJ45 copper 100BASE-TX for PTP (IEEE 1588) server, NTP server and configuration</v>
      </c>
      <c r="B6" s="49"/>
      <c r="C6" s="49"/>
      <c r="D6" s="57"/>
      <c r="E6" s="49"/>
    </row>
    <row r="7" spans="1:5" x14ac:dyDescent="0.3">
      <c r="A7" s="108" t="str">
        <f>Database!$A$22</f>
        <v>Customization / Regionalisation</v>
      </c>
      <c r="B7" s="49"/>
      <c r="C7" s="49"/>
      <c r="D7" s="57"/>
      <c r="E7" s="49"/>
    </row>
    <row r="8" spans="1:5" x14ac:dyDescent="0.3">
      <c r="A8" s="50" t="str">
        <f>Database!C22</f>
        <v>GE branding</v>
      </c>
      <c r="B8" s="49"/>
      <c r="C8" s="49"/>
      <c r="D8" s="57"/>
      <c r="E8" s="49"/>
    </row>
    <row r="9" spans="1:5" x14ac:dyDescent="0.3">
      <c r="A9" s="108" t="str">
        <f>Database!$A$34</f>
        <v>Firmware Version</v>
      </c>
      <c r="B9" s="49"/>
      <c r="C9" s="49"/>
      <c r="D9" s="57"/>
      <c r="E9" s="49"/>
    </row>
    <row r="10" spans="1:5" x14ac:dyDescent="0.3">
      <c r="A10" s="107" t="str">
        <f>Database!$D$34</f>
        <v>08</v>
      </c>
      <c r="B10" s="49"/>
      <c r="C10" s="49"/>
      <c r="D10" s="57"/>
      <c r="E10" s="49"/>
    </row>
    <row r="11" spans="1:5" x14ac:dyDescent="0.3">
      <c r="A11" s="108" t="str">
        <f>Database!$A$43</f>
        <v>Hardware Design Suffix</v>
      </c>
      <c r="B11" s="49"/>
      <c r="C11" s="49"/>
      <c r="D11" s="57"/>
      <c r="E11" s="49"/>
    </row>
    <row r="12" spans="1:5" x14ac:dyDescent="0.3">
      <c r="A12" s="50" t="str">
        <f>Database!$C$43</f>
        <v>Hardware release version</v>
      </c>
      <c r="B12" s="49"/>
      <c r="C12" s="49"/>
      <c r="D12" s="57"/>
      <c r="E12" s="49"/>
    </row>
    <row r="13" spans="1:5" x14ac:dyDescent="0.3">
      <c r="A13" s="108" t="str">
        <f>Database!$A$50</f>
        <v>GPS Antenna</v>
      </c>
      <c r="B13" s="49"/>
      <c r="C13" s="49"/>
      <c r="D13" s="57"/>
      <c r="E13" s="49"/>
    </row>
    <row r="14" spans="1:5" x14ac:dyDescent="0.3">
      <c r="A14" s="50" t="str">
        <f>Database!$C$50</f>
        <v>3.3V TNC Female active GNSS antenna</v>
      </c>
      <c r="B14" s="49"/>
      <c r="C14" s="49"/>
      <c r="D14" s="57"/>
      <c r="E14" s="49"/>
    </row>
    <row r="15" spans="1:5" x14ac:dyDescent="0.3">
      <c r="A15" s="108" t="str">
        <f>Database!$A$57</f>
        <v>Antenna Cable</v>
      </c>
      <c r="B15" s="49"/>
      <c r="C15" s="49"/>
      <c r="D15" s="57"/>
      <c r="E15" s="49"/>
    </row>
    <row r="16" spans="1:5" x14ac:dyDescent="0.3">
      <c r="A16" s="50" t="str">
        <f>Database!$C$57</f>
        <v>100 m (328 ft) TNC Male to BNC Male (Attennuation &lt; 0.2 dB/m @ 1500 MHZ)</v>
      </c>
      <c r="B16" s="49"/>
      <c r="C16" s="49"/>
      <c r="D16" s="57"/>
      <c r="E16" s="49"/>
    </row>
    <row r="17" spans="1:10" x14ac:dyDescent="0.3">
      <c r="A17" s="108" t="str">
        <f>Database!$A$69</f>
        <v>Surge Arrester</v>
      </c>
      <c r="B17" s="49"/>
      <c r="C17" s="49"/>
      <c r="D17" s="57"/>
      <c r="E17" s="49"/>
    </row>
    <row r="18" spans="1:10" x14ac:dyDescent="0.3">
      <c r="A18" s="50" t="str">
        <f>Database!$C$69</f>
        <v>10 kA, 50 Ohms, BNC-type connector Surge Arrester for 0-2000 MHz</v>
      </c>
      <c r="B18" s="49"/>
      <c r="C18" s="49"/>
      <c r="D18" s="57"/>
      <c r="E18" s="49"/>
    </row>
    <row r="19" spans="1:10" ht="14.5" thickBot="1" x14ac:dyDescent="0.35">
      <c r="A19" s="58"/>
      <c r="B19" s="58"/>
      <c r="C19" s="58"/>
      <c r="D19" s="59"/>
      <c r="E19" s="49"/>
    </row>
    <row r="20" spans="1:10" x14ac:dyDescent="0.3">
      <c r="A20" s="49"/>
      <c r="B20" s="49"/>
      <c r="C20" s="49"/>
      <c r="D20" s="57"/>
      <c r="E20" s="49"/>
    </row>
    <row r="21" spans="1:10" x14ac:dyDescent="0.3">
      <c r="A21" s="53" t="str">
        <f>HLOOKUP(Language!$C$3,Language!$E$1:$Z566,38,FALSE)</f>
        <v>Issue:</v>
      </c>
      <c r="B21" s="54"/>
      <c r="C21" s="54"/>
      <c r="D21" s="127"/>
      <c r="E21" s="49"/>
    </row>
    <row r="22" spans="1:10" x14ac:dyDescent="0.3">
      <c r="A22" s="55"/>
      <c r="B22" s="56" t="s">
        <v>0</v>
      </c>
      <c r="C22" s="202" t="str">
        <f>HLOOKUP(Language!$C$3,Language!$E$1:$Z566,39,FALSE)</f>
        <v>Original Created</v>
      </c>
      <c r="D22" s="207">
        <v>41709</v>
      </c>
      <c r="E22" s="124"/>
      <c r="F22" s="124"/>
      <c r="G22" s="124"/>
      <c r="H22" s="124"/>
      <c r="I22" s="124"/>
      <c r="J22" s="125"/>
    </row>
    <row r="23" spans="1:10" x14ac:dyDescent="0.3">
      <c r="A23" s="49"/>
      <c r="B23" s="206" t="s">
        <v>1</v>
      </c>
      <c r="C23" s="202" t="str">
        <f>HLOOKUP(Language!$C$3,Language!$E$1:$Z567,49,FALSE)</f>
        <v>Changed antenna cable length for option 3</v>
      </c>
      <c r="D23" s="211">
        <f>'Date Drivers'!B2</f>
        <v>41852</v>
      </c>
      <c r="E23" s="49"/>
    </row>
    <row r="24" spans="1:10" x14ac:dyDescent="0.3">
      <c r="A24" s="49"/>
      <c r="B24" s="209" t="s">
        <v>2</v>
      </c>
      <c r="C24" s="210" t="str">
        <f>HLOOKUP(Language!$C$3,Language!$E$1:$Z567,50,FALSE)</f>
        <v>Changed firmware to version 06 and added 24-48 Vdc power supply option</v>
      </c>
      <c r="D24" s="211">
        <f>'Date Drivers'!C2</f>
        <v>41985</v>
      </c>
      <c r="E24" s="49"/>
    </row>
    <row r="25" spans="1:10" x14ac:dyDescent="0.3">
      <c r="A25" s="49"/>
      <c r="B25" s="209" t="s">
        <v>173</v>
      </c>
      <c r="C25" s="210" t="str">
        <f>HLOOKUP(Language!$C$3,Language!$E$1:$Z568,59,FALSE)</f>
        <v>Changed antenna and antenna cable description</v>
      </c>
      <c r="D25" s="211">
        <f>'Date Drivers'!D2</f>
        <v>42130</v>
      </c>
      <c r="E25" s="49"/>
    </row>
    <row r="26" spans="1:10" x14ac:dyDescent="0.3">
      <c r="A26" s="49"/>
      <c r="B26" s="209" t="s">
        <v>187</v>
      </c>
      <c r="C26" s="210" t="str">
        <f>HLOOKUP(Language!$C$3,Language!$E$1:$Z568,62,FALSE)</f>
        <v>Changed hardware release version due to changes on electrical ports isolation</v>
      </c>
      <c r="D26" s="211">
        <f>'Date Drivers'!E2</f>
        <v>42398</v>
      </c>
      <c r="E26" s="49"/>
    </row>
    <row r="27" spans="1:10" x14ac:dyDescent="0.3">
      <c r="A27" s="49"/>
      <c r="B27" s="209" t="s">
        <v>192</v>
      </c>
      <c r="C27" s="210" t="str">
        <f>HLOOKUP(Language!$C$3,Language!$E$1:$Z569,63,FALSE)</f>
        <v>New firmware release</v>
      </c>
      <c r="D27" s="211">
        <f>'Date Drivers'!F2</f>
        <v>42443</v>
      </c>
      <c r="E27" s="49"/>
    </row>
    <row r="28" spans="1:10" x14ac:dyDescent="0.3">
      <c r="A28" s="49"/>
      <c r="B28" s="209" t="s">
        <v>198</v>
      </c>
      <c r="C28" s="210" t="str">
        <f>HLOOKUP(Language!$C$3,Language!$E$1:$Z570,65,FALSE)</f>
        <v>Changed branding to GE</v>
      </c>
      <c r="D28" s="211">
        <f>'Date Drivers'!G2</f>
        <v>42494</v>
      </c>
      <c r="E28" s="49"/>
    </row>
    <row r="29" spans="1:10" x14ac:dyDescent="0.3">
      <c r="A29" s="49"/>
      <c r="B29" s="209" t="s">
        <v>217</v>
      </c>
      <c r="C29" s="210" t="str">
        <f>HLOOKUP(Language!$C$3,Language!$E$1:$Z571,71,FALSE)</f>
        <v>Cables attenuation fixed</v>
      </c>
      <c r="D29" s="211">
        <f>'Date Drivers'!H2</f>
        <v>42555</v>
      </c>
      <c r="E29" s="49"/>
    </row>
    <row r="30" spans="1:10" x14ac:dyDescent="0.3">
      <c r="A30" s="49"/>
      <c r="B30" s="209" t="s">
        <v>225</v>
      </c>
      <c r="C30" s="210" t="str">
        <f>HLOOKUP(Language!$C$3,Language!$E$1:$Z572,72,FALSE)</f>
        <v>Added firmware version 08</v>
      </c>
      <c r="D30" s="211">
        <f>'Date Drivers'!I2</f>
        <v>42650</v>
      </c>
      <c r="E30" s="49"/>
    </row>
    <row r="31" spans="1:10" ht="25" x14ac:dyDescent="0.3">
      <c r="A31" s="49"/>
      <c r="B31" s="209" t="s">
        <v>233</v>
      </c>
      <c r="C31" s="210" t="str">
        <f>HLOOKUP(Language!$C$3,Language!$E$1:$Z573,76,FALSE)</f>
        <v>Name updated to "GPS Precision-Time Clock" 
Added 150 m cable option</v>
      </c>
      <c r="D31" s="211">
        <f>'Date Drivers'!J2</f>
        <v>42800</v>
      </c>
      <c r="E31" s="49"/>
    </row>
    <row r="32" spans="1:10" x14ac:dyDescent="0.3">
      <c r="A32" s="49"/>
      <c r="B32" s="209" t="s">
        <v>236</v>
      </c>
      <c r="C32" s="210" t="str">
        <f>HLOOKUP(Language!$C$3,Language!$E$1:$Z574,77,FALSE)</f>
        <v>Accessories tab added and firmware version 07 withdraw</v>
      </c>
      <c r="D32" s="211">
        <f>'Date Drivers'!K2</f>
        <v>43371</v>
      </c>
      <c r="E32" s="49"/>
    </row>
    <row r="33" spans="1:5" x14ac:dyDescent="0.3">
      <c r="A33" s="49"/>
      <c r="B33" s="209" t="s">
        <v>257</v>
      </c>
      <c r="C33" s="210" t="str">
        <f>HLOOKUP(Language!$C$3,Language!$E$1:$Z575,83,FALSE)</f>
        <v>24-48 Vdc low voltage power supply discontinued. Refer to End-of-Manufacturing notice GER-4900 and CID006765.</v>
      </c>
      <c r="D33" s="211">
        <v>44217</v>
      </c>
      <c r="E33" s="49"/>
    </row>
    <row r="34" spans="1:5" x14ac:dyDescent="0.3">
      <c r="A34" s="49"/>
      <c r="B34" s="209" t="s">
        <v>264</v>
      </c>
      <c r="C34" s="210" t="str">
        <f>HLOOKUP(Language!$C$3,Language!$E$1:$Z576,84,FALSE)</f>
        <v>End-of-manufacturing of antenna cable options 15m (50ft), 75m (246ft), 150m (492ft) as per  GER-4938 notice</v>
      </c>
      <c r="D34" s="211">
        <v>45238</v>
      </c>
      <c r="E34" s="49"/>
    </row>
    <row r="35" spans="1:5" ht="14.5" thickBot="1" x14ac:dyDescent="0.35">
      <c r="A35" s="58"/>
      <c r="B35" s="58"/>
      <c r="C35" s="58"/>
      <c r="D35" s="59"/>
      <c r="E35" s="49"/>
    </row>
  </sheetData>
  <sheetProtection algorithmName="SHA-512" hashValue="xtK18T62TRT37X4H6Xrii7uENs/dmrp+7vK4sV5dXcTTh1l2pTIEsPfOxLC0CVEE9TQytrU8eIaah2GVo1ddBQ==" saltValue="8Tr//fHLtZWL13bhkRVE0Q==" spinCount="100000" sheet="1" objects="1" scenarios="1"/>
  <phoneticPr fontId="1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68861-F268-4FA1-BB2B-8D6EA5CAC041}">
  <dimension ref="A1:E9"/>
  <sheetViews>
    <sheetView showGridLines="0" showRowColHeaders="0" workbookViewId="0">
      <selection activeCell="E28" sqref="E28"/>
    </sheetView>
  </sheetViews>
  <sheetFormatPr defaultRowHeight="14.5" x14ac:dyDescent="0.35"/>
  <cols>
    <col min="1" max="1" width="17.26953125" customWidth="1"/>
    <col min="2" max="2" width="20.7265625" customWidth="1"/>
    <col min="3" max="3" width="28.7265625" customWidth="1"/>
    <col min="4" max="4" width="23.7265625" customWidth="1"/>
    <col min="5" max="5" width="24.26953125" customWidth="1"/>
  </cols>
  <sheetData>
    <row r="1" spans="1:5" ht="24" customHeight="1" x14ac:dyDescent="0.35">
      <c r="A1" s="238" t="str">
        <f>HLOOKUP(Language!$C$3,Language!$E$1:$Z489,79,FALSE)</f>
        <v>Accessories</v>
      </c>
      <c r="B1" s="239"/>
      <c r="C1" s="239"/>
      <c r="D1" s="239"/>
      <c r="E1" s="240"/>
    </row>
    <row r="2" spans="1:5" x14ac:dyDescent="0.35">
      <c r="A2" s="212" t="str">
        <f>HLOOKUP(Language!$C$3,Language!$E$1:$Z489,80,FALSE)</f>
        <v>Code</v>
      </c>
      <c r="B2" s="241" t="str">
        <f>HLOOKUP(Language!$C$3,Language!$E$1:$Z489,81,FALSE)</f>
        <v>Description</v>
      </c>
      <c r="C2" s="241"/>
      <c r="D2" s="241"/>
      <c r="E2" s="241"/>
    </row>
    <row r="3" spans="1:5" ht="9.75" customHeight="1" x14ac:dyDescent="0.35">
      <c r="A3" s="213"/>
      <c r="B3" s="213"/>
      <c r="C3" s="213"/>
      <c r="D3" s="213"/>
      <c r="E3" s="213"/>
    </row>
    <row r="4" spans="1:5" ht="24" customHeight="1" x14ac:dyDescent="0.35">
      <c r="A4" s="214" t="s">
        <v>237</v>
      </c>
      <c r="B4" s="235" t="str">
        <f>HLOOKUP(Language!$C$3,Language!$E$1:$Z486,53,FALSE)</f>
        <v>3.3V TNC Female active GNSS antenna</v>
      </c>
      <c r="C4" s="236"/>
      <c r="D4" s="236"/>
      <c r="E4" s="237"/>
    </row>
    <row r="5" spans="1:5" ht="24" customHeight="1" x14ac:dyDescent="0.35">
      <c r="A5" s="214" t="s">
        <v>238</v>
      </c>
      <c r="B5" s="235" t="str">
        <f>CONCATENATE(HLOOKUP(Language!$C$3,Language!$E$1:$Z454,27,FALSE),": ",HLOOKUP(Language!$C$3,Language!$E$1:$Z454,67,FALSE))</f>
        <v>Antenna Cable: 25 m (82 ft) TNC Male to BNC Male (Attennuation &lt; 0.5 dB/m @ 1500 MHZ)</v>
      </c>
      <c r="C5" s="236"/>
      <c r="D5" s="236"/>
      <c r="E5" s="237"/>
    </row>
    <row r="6" spans="1:5" ht="24" customHeight="1" x14ac:dyDescent="0.35">
      <c r="A6" s="214" t="s">
        <v>239</v>
      </c>
      <c r="B6" s="235" t="str">
        <f>CONCATENATE(HLOOKUP(Language!$C$3,Language!$E$1:$Z454,27,FALSE),": ",HLOOKUP(Language!$C$3,Language!$E$1:$Z454,68,FALSE))</f>
        <v>Antenna Cable: 40 m (131 ft) TNC Male to BNC Male (Attennuation &lt; 0.5 dB/m @ 1500 MHZ)</v>
      </c>
      <c r="C6" s="236"/>
      <c r="D6" s="236"/>
      <c r="E6" s="237"/>
    </row>
    <row r="7" spans="1:5" ht="24" customHeight="1" x14ac:dyDescent="0.35">
      <c r="A7" s="214" t="s">
        <v>240</v>
      </c>
      <c r="B7" s="235" t="str">
        <f>CONCATENATE(HLOOKUP(Language!$C$3,Language!$E$1:$Z454,27,FALSE),": ",HLOOKUP(Language!$C$3,Language!$E$1:$Z454,70,FALSE))</f>
        <v>Antenna Cable: 100 m (328 ft) TNC Male to BNC Male (Attennuation &lt; 0.2 dB/m @ 1500 MHZ)</v>
      </c>
      <c r="C7" s="236"/>
      <c r="D7" s="236"/>
      <c r="E7" s="237"/>
    </row>
    <row r="8" spans="1:5" ht="24" customHeight="1" x14ac:dyDescent="0.35">
      <c r="A8" s="214" t="s">
        <v>241</v>
      </c>
      <c r="B8" s="215" t="str">
        <f>HLOOKUP(Language!$C$3,Language!$E$1:$Z486,36,FALSE)</f>
        <v>10 kA, 50 Ohms, BNC-type connector Surge Arrester for 0-2000 MHz</v>
      </c>
      <c r="C8" s="216"/>
      <c r="D8" s="216"/>
      <c r="E8" s="217"/>
    </row>
    <row r="9" spans="1:5" ht="24" customHeight="1" x14ac:dyDescent="0.35">
      <c r="A9" s="214" t="s">
        <v>242</v>
      </c>
      <c r="B9" s="235" t="str">
        <f>HLOOKUP(Language!$C$3,Language!$E$1:$Z486,82,FALSE)</f>
        <v>Wall kit mounting for GNSS Antenna (Q020)</v>
      </c>
      <c r="C9" s="236"/>
      <c r="D9" s="236"/>
      <c r="E9" s="237"/>
    </row>
  </sheetData>
  <sheetProtection algorithmName="SHA-512" hashValue="axsMJcYE05NMQdFoS1oW6AZ543nq3zzDxc2Ns1Czcxtd5mkF+lH8nFbnqCDFyP08D0VDOTNsMFkwSc/RfM8zpg==" saltValue="4B5zJR3NazPzZxl8Ns8rOQ==" spinCount="100000" sheet="1" objects="1" scenarios="1"/>
  <mergeCells count="7">
    <mergeCell ref="B7:E7"/>
    <mergeCell ref="B9:E9"/>
    <mergeCell ref="A1:E1"/>
    <mergeCell ref="B2:E2"/>
    <mergeCell ref="B4:E4"/>
    <mergeCell ref="B5:E5"/>
    <mergeCell ref="B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4"/>
  <sheetViews>
    <sheetView topLeftCell="A31" workbookViewId="0">
      <selection activeCell="C64" sqref="C64"/>
    </sheetView>
  </sheetViews>
  <sheetFormatPr defaultColWidth="9.1796875" defaultRowHeight="11.5" x14ac:dyDescent="0.25"/>
  <cols>
    <col min="1" max="1" width="26.81640625" style="3" bestFit="1" customWidth="1"/>
    <col min="2" max="2" width="3" style="13" bestFit="1" customWidth="1"/>
    <col min="3" max="3" width="68.26953125" style="3" bestFit="1" customWidth="1"/>
    <col min="4" max="4" width="3" style="13" bestFit="1" customWidth="1"/>
    <col min="5" max="16384" width="9.1796875" style="3"/>
  </cols>
  <sheetData>
    <row r="1" spans="1:4" x14ac:dyDescent="0.25">
      <c r="A1" s="31" t="s">
        <v>8</v>
      </c>
      <c r="B1" s="91"/>
      <c r="C1" s="32">
        <v>45238</v>
      </c>
    </row>
    <row r="2" spans="1:4" x14ac:dyDescent="0.25">
      <c r="A2" s="61" t="str">
        <f>HLOOKUP('Date Drivers'!$B$1,'Date Drivers'!$A$2:$Z$77,2,FALSE)</f>
        <v>RT431 GPS Precision-Time Clock</v>
      </c>
      <c r="B2" s="92"/>
      <c r="C2" s="31" t="str">
        <f>"RT431"&amp;D3&amp;D10&amp;D22&amp;D34&amp;D43&amp;D50&amp;D57&amp;D69</f>
        <v>RT4313PC08B251</v>
      </c>
    </row>
    <row r="3" spans="1:4" x14ac:dyDescent="0.25">
      <c r="A3" s="20" t="str">
        <f>'Date Drivers'!$A$6</f>
        <v>Power Supply</v>
      </c>
      <c r="B3" s="93">
        <v>1</v>
      </c>
      <c r="C3" s="26" t="str">
        <f>C5</f>
        <v>100-250 Vdc / 110-240 Vac</v>
      </c>
      <c r="D3" s="26">
        <f>D5</f>
        <v>3</v>
      </c>
    </row>
    <row r="4" spans="1:4" x14ac:dyDescent="0.25">
      <c r="B4" s="15">
        <v>1</v>
      </c>
      <c r="C4" s="22" t="str">
        <f>HLOOKUP('Date Drivers'!$B$1,'Date Drivers'!$A$2:$Z$77,5,FALSE)</f>
        <v>24-48 Vdc</v>
      </c>
      <c r="D4" s="17">
        <f>HLOOKUP('Date Drivers'!$B$1,'Date Drivers'!$A$2:$Z$77,10,FALSE)</f>
        <v>1</v>
      </c>
    </row>
    <row r="5" spans="1:4" x14ac:dyDescent="0.25">
      <c r="B5" s="16">
        <v>2</v>
      </c>
      <c r="C5" s="23" t="str">
        <f>HLOOKUP('Date Drivers'!$B$1,'Date Drivers'!$A$2:$Z$77,6,FALSE)</f>
        <v>100-250 Vdc / 110-240 Vac</v>
      </c>
      <c r="D5" s="18">
        <f>HLOOKUP('Date Drivers'!$B$1,'Date Drivers'!$A$2:$Z$77,11,FALSE)</f>
        <v>3</v>
      </c>
    </row>
    <row r="6" spans="1:4" x14ac:dyDescent="0.25">
      <c r="B6" s="16">
        <v>3</v>
      </c>
      <c r="C6" s="23"/>
      <c r="D6" s="18"/>
    </row>
    <row r="7" spans="1:4" x14ac:dyDescent="0.25">
      <c r="B7" s="16">
        <v>4</v>
      </c>
      <c r="C7" s="23"/>
      <c r="D7" s="18"/>
    </row>
    <row r="8" spans="1:4" x14ac:dyDescent="0.25">
      <c r="B8" s="21">
        <v>5</v>
      </c>
      <c r="C8" s="24"/>
      <c r="D8" s="27"/>
    </row>
    <row r="10" spans="1:4" x14ac:dyDescent="0.25">
      <c r="A10" s="20" t="str">
        <f>'Date Drivers'!$A$16</f>
        <v>Ethernet Interface</v>
      </c>
      <c r="B10" s="93">
        <v>3</v>
      </c>
      <c r="C10" s="26" t="str">
        <f>VLOOKUP($B$10,$B$11:$D$20,2,FALSE)</f>
        <v>RJ45 copper 100BASE-TX for PTP (IEEE 1588) server, NTP server and configuration</v>
      </c>
      <c r="D10" s="26" t="str">
        <f>VLOOKUP($B$10,$B$11:$D$20,3,FALSE)</f>
        <v>P</v>
      </c>
    </row>
    <row r="11" spans="1:4" x14ac:dyDescent="0.25">
      <c r="B11" s="15">
        <v>1</v>
      </c>
      <c r="C11" s="22" t="str">
        <f>HLOOKUP('Date Drivers'!$B$1,'Date Drivers'!$A$2:$Z$77,15,FALSE)</f>
        <v>RJ45 copper 100BASE-TX for configuration only</v>
      </c>
      <c r="D11" s="15" t="str">
        <f>HLOOKUP('Date Drivers'!$B$1,'Date Drivers'!$A$2:$Z$77,22,FALSE)</f>
        <v>C</v>
      </c>
    </row>
    <row r="12" spans="1:4" x14ac:dyDescent="0.25">
      <c r="B12" s="16">
        <v>2</v>
      </c>
      <c r="C12" s="23" t="str">
        <f>HLOOKUP('Date Drivers'!$B$1,'Date Drivers'!$A$2:$Z$77,16,FALSE)</f>
        <v>RJ45 copper 100BASE-TX for NTP server and configuration</v>
      </c>
      <c r="D12" s="16" t="str">
        <f>HLOOKUP('Date Drivers'!$B$1,'Date Drivers'!$A$2:$Z$77,23,FALSE)</f>
        <v>N</v>
      </c>
    </row>
    <row r="13" spans="1:4" x14ac:dyDescent="0.25">
      <c r="B13" s="16">
        <v>3</v>
      </c>
      <c r="C13" s="23" t="str">
        <f>HLOOKUP('Date Drivers'!$B$1,'Date Drivers'!$A$2:$Z$77,17,FALSE)</f>
        <v>RJ45 copper 100BASE-TX for PTP (IEEE 1588) server, NTP server and configuration</v>
      </c>
      <c r="D13" s="16" t="str">
        <f>HLOOKUP('Date Drivers'!$B$1,'Date Drivers'!$A$2:$Z$77,24,FALSE)</f>
        <v>P</v>
      </c>
    </row>
    <row r="14" spans="1:4" x14ac:dyDescent="0.25">
      <c r="B14" s="16">
        <v>4</v>
      </c>
      <c r="C14" s="23" t="str">
        <f>HLOOKUP('Date Drivers'!$B$1,'Date Drivers'!$A$2:$Z$77,18,FALSE)</f>
        <v>RJ45 copper 100BASE-TX for PTP (IEEE 1588) client</v>
      </c>
      <c r="D14" s="16" t="str">
        <f>HLOOKUP('Date Drivers'!$B$1,'Date Drivers'!$A$2:$Z$77,25,FALSE)</f>
        <v>S</v>
      </c>
    </row>
    <row r="15" spans="1:4" x14ac:dyDescent="0.25">
      <c r="B15" s="16">
        <v>5</v>
      </c>
      <c r="C15" s="23"/>
      <c r="D15" s="16"/>
    </row>
    <row r="16" spans="1:4" x14ac:dyDescent="0.25">
      <c r="B16" s="16">
        <v>6</v>
      </c>
      <c r="C16" s="23"/>
      <c r="D16" s="16"/>
    </row>
    <row r="17" spans="1:4" x14ac:dyDescent="0.25">
      <c r="B17" s="16">
        <v>7</v>
      </c>
      <c r="C17" s="23"/>
      <c r="D17" s="16"/>
    </row>
    <row r="18" spans="1:4" x14ac:dyDescent="0.25">
      <c r="B18" s="16">
        <v>8</v>
      </c>
      <c r="C18" s="23"/>
      <c r="D18" s="16"/>
    </row>
    <row r="19" spans="1:4" x14ac:dyDescent="0.25">
      <c r="B19" s="16">
        <v>9</v>
      </c>
      <c r="C19" s="23"/>
      <c r="D19" s="16"/>
    </row>
    <row r="20" spans="1:4" x14ac:dyDescent="0.25">
      <c r="B20" s="21">
        <v>10</v>
      </c>
      <c r="C20" s="24" t="str">
        <f>"  "&amp;HLOOKUP('Date Drivers'!$B$1,'Date Drivers'!$A$2:$Z$77,9,FALSE)</f>
        <v xml:space="preserve">  </v>
      </c>
      <c r="D20" s="21"/>
    </row>
    <row r="22" spans="1:4" x14ac:dyDescent="0.25">
      <c r="A22" s="20" t="str">
        <f>'Date Drivers'!$A$30</f>
        <v>Customization / Regionalisation</v>
      </c>
      <c r="B22" s="93">
        <v>1</v>
      </c>
      <c r="C22" s="26" t="str">
        <f>VLOOKUP($B$22,$B$23:$D$32,2,FALSE)</f>
        <v>GE branding</v>
      </c>
      <c r="D22" s="28" t="str">
        <f>VLOOKUP($B$22,$B$23:$D$32,3,FALSE)</f>
        <v>C</v>
      </c>
    </row>
    <row r="23" spans="1:4" x14ac:dyDescent="0.25">
      <c r="B23" s="15">
        <v>1</v>
      </c>
      <c r="C23" s="22" t="str">
        <f>HLOOKUP('Date Drivers'!$B$1,'Date Drivers'!$A$2:$Z$77,29,FALSE)</f>
        <v>GE branding</v>
      </c>
      <c r="D23" s="15" t="str">
        <f>HLOOKUP('Date Drivers'!$B$1,'Date Drivers'!$A$2:$Z$77,33,FALSE)</f>
        <v>C</v>
      </c>
    </row>
    <row r="24" spans="1:4" x14ac:dyDescent="0.25">
      <c r="B24" s="16">
        <v>2</v>
      </c>
      <c r="C24" s="23"/>
      <c r="D24" s="16"/>
    </row>
    <row r="25" spans="1:4" x14ac:dyDescent="0.25">
      <c r="B25" s="16">
        <v>3</v>
      </c>
      <c r="C25" s="23" t="str">
        <f>IF(HLOOKUP('Date Drivers'!$B$1,'Date Drivers'!$A$2:$Z$77,31,FALSE)=0,"",HLOOKUP('Date Drivers'!$B$1,'Date Drivers'!$A$2:$Z$77,31,FALSE))</f>
        <v/>
      </c>
      <c r="D25" s="16" t="str">
        <f>IF(HLOOKUP('Date Drivers'!$B$1,'Date Drivers'!$A$2:$Z$77,35,FALSE)=0,"",HLOOKUP('Date Drivers'!$B$1,'Date Drivers'!$A$2:$Z$77,35,FALSE))</f>
        <v/>
      </c>
    </row>
    <row r="26" spans="1:4" x14ac:dyDescent="0.25">
      <c r="B26" s="16">
        <v>4</v>
      </c>
      <c r="C26" s="23"/>
      <c r="D26" s="16"/>
    </row>
    <row r="27" spans="1:4" x14ac:dyDescent="0.25">
      <c r="B27" s="16">
        <v>5</v>
      </c>
      <c r="C27" s="23"/>
      <c r="D27" s="16"/>
    </row>
    <row r="28" spans="1:4" x14ac:dyDescent="0.25">
      <c r="B28" s="16">
        <v>6</v>
      </c>
      <c r="C28" s="23"/>
      <c r="D28" s="16"/>
    </row>
    <row r="29" spans="1:4" x14ac:dyDescent="0.25">
      <c r="B29" s="16">
        <v>7</v>
      </c>
      <c r="C29" s="23"/>
      <c r="D29" s="16"/>
    </row>
    <row r="30" spans="1:4" x14ac:dyDescent="0.25">
      <c r="B30" s="16">
        <v>8</v>
      </c>
      <c r="C30" s="23"/>
      <c r="D30" s="16"/>
    </row>
    <row r="31" spans="1:4" x14ac:dyDescent="0.25">
      <c r="B31" s="16">
        <v>9</v>
      </c>
      <c r="C31" s="23"/>
      <c r="D31" s="16"/>
    </row>
    <row r="32" spans="1:4" x14ac:dyDescent="0.25">
      <c r="B32" s="21">
        <v>10</v>
      </c>
      <c r="C32" s="24"/>
      <c r="D32" s="21"/>
    </row>
    <row r="34" spans="1:4" x14ac:dyDescent="0.25">
      <c r="A34" s="20" t="str">
        <f>'Date Drivers'!$A$38</f>
        <v>Firmware Version</v>
      </c>
      <c r="B34" s="94">
        <v>1</v>
      </c>
      <c r="C34" s="28" t="str">
        <f>VLOOKUP($B$34,$B$35:$D$41,2,FALSE)</f>
        <v>Latest available firmware - 08</v>
      </c>
      <c r="D34" s="26" t="str">
        <f>VLOOKUP($B$34,$B$35:$D$41,3,FALSE)</f>
        <v>08</v>
      </c>
    </row>
    <row r="35" spans="1:4" x14ac:dyDescent="0.25">
      <c r="B35" s="15">
        <v>1</v>
      </c>
      <c r="C35" s="29" t="str">
        <f>HLOOKUP('Date Drivers'!$B$1,'Date Drivers'!$A$2:$Z$77,37,FALSE)</f>
        <v>Latest available firmware - 08</v>
      </c>
      <c r="D35" s="15" t="str">
        <f>HLOOKUP('Date Drivers'!$B$1,'Date Drivers'!$A$2:$Z$77,43,FALSE)</f>
        <v>08</v>
      </c>
    </row>
    <row r="36" spans="1:4" x14ac:dyDescent="0.25">
      <c r="B36" s="16">
        <v>2</v>
      </c>
      <c r="C36" s="30" t="str">
        <f>IF(HLOOKUP('Date Drivers'!$B$1,'Date Drivers'!$A$2:$Z$77,38,FALSE)=0,"",HLOOKUP('Date Drivers'!$B$1,'Date Drivers'!$A$2:$Z$77,38,FALSE))</f>
        <v>Firmware version number - 07 (withdraw)</v>
      </c>
      <c r="D36" s="16" t="str">
        <f>IF(HLOOKUP('Date Drivers'!$B$1,'Date Drivers'!$A$2:$Z$77,44,FALSE)=0,"",HLOOKUP('Date Drivers'!$B$1,'Date Drivers'!$A$2:$Z$77,44,FALSE))</f>
        <v>07</v>
      </c>
    </row>
    <row r="37" spans="1:4" x14ac:dyDescent="0.25">
      <c r="B37" s="16">
        <v>3</v>
      </c>
      <c r="C37" s="30"/>
      <c r="D37" s="16"/>
    </row>
    <row r="38" spans="1:4" x14ac:dyDescent="0.25">
      <c r="B38" s="16">
        <v>4</v>
      </c>
      <c r="C38" s="30"/>
      <c r="D38" s="16"/>
    </row>
    <row r="39" spans="1:4" x14ac:dyDescent="0.25">
      <c r="B39" s="16">
        <v>5</v>
      </c>
      <c r="C39" s="30"/>
      <c r="D39" s="16"/>
    </row>
    <row r="40" spans="1:4" x14ac:dyDescent="0.25">
      <c r="B40" s="16">
        <v>6</v>
      </c>
      <c r="C40" s="30"/>
      <c r="D40" s="16"/>
    </row>
    <row r="41" spans="1:4" x14ac:dyDescent="0.25">
      <c r="B41" s="21">
        <v>7</v>
      </c>
      <c r="C41" s="95"/>
      <c r="D41" s="21"/>
    </row>
    <row r="43" spans="1:4" x14ac:dyDescent="0.25">
      <c r="A43" s="20" t="str">
        <f>'Date Drivers'!$A$50</f>
        <v>Hardware Design Suffix</v>
      </c>
      <c r="B43" s="94">
        <v>1</v>
      </c>
      <c r="C43" s="28" t="str">
        <f>VLOOKUP($B$43,$B$44:$D$46,2,FALSE)</f>
        <v>Hardware release version</v>
      </c>
      <c r="D43" s="26" t="str">
        <f>VLOOKUP($B$43,$B$44:$D$48,3,FALSE)</f>
        <v>B</v>
      </c>
    </row>
    <row r="44" spans="1:4" x14ac:dyDescent="0.25">
      <c r="B44" s="15">
        <v>1</v>
      </c>
      <c r="C44" s="22" t="str">
        <f>HLOOKUP('Date Drivers'!$B$1,'Date Drivers'!$A$2:$Z$77,49,FALSE)</f>
        <v>Hardware release version</v>
      </c>
      <c r="D44" s="15" t="str">
        <f>HLOOKUP('Date Drivers'!$B$1,'Date Drivers'!$A$2:$Z$77,55,FALSE)</f>
        <v>B</v>
      </c>
    </row>
    <row r="45" spans="1:4" x14ac:dyDescent="0.25">
      <c r="B45" s="16">
        <v>2</v>
      </c>
      <c r="C45" s="23"/>
      <c r="D45" s="16"/>
    </row>
    <row r="46" spans="1:4" x14ac:dyDescent="0.25">
      <c r="B46" s="16">
        <v>3</v>
      </c>
      <c r="C46" s="23"/>
      <c r="D46" s="16"/>
    </row>
    <row r="47" spans="1:4" x14ac:dyDescent="0.25">
      <c r="B47" s="16">
        <v>4</v>
      </c>
      <c r="C47" s="23"/>
      <c r="D47" s="16"/>
    </row>
    <row r="48" spans="1:4" x14ac:dyDescent="0.25">
      <c r="B48" s="21">
        <v>5</v>
      </c>
      <c r="C48" s="24"/>
      <c r="D48" s="21"/>
    </row>
    <row r="50" spans="1:4" x14ac:dyDescent="0.25">
      <c r="A50" s="20" t="str">
        <f>'Date Drivers'!$A$62</f>
        <v>GPS Antenna</v>
      </c>
      <c r="B50" s="94">
        <v>2</v>
      </c>
      <c r="C50" s="28" t="str">
        <f>VLOOKUP($B$50,$B$51:$D$52,2,FALSE)</f>
        <v>3.3V TNC Female active GNSS antenna</v>
      </c>
      <c r="D50" s="28">
        <f>VLOOKUP($B$50,$B$51:$D$52,3,FALSE)</f>
        <v>2</v>
      </c>
    </row>
    <row r="51" spans="1:4" x14ac:dyDescent="0.25">
      <c r="B51" s="15">
        <v>1</v>
      </c>
      <c r="C51" s="22" t="str">
        <f>HLOOKUP('Date Drivers'!$B$1,'Date Drivers'!$A$2:$Z$120,61,FALSE)</f>
        <v>Without antenna</v>
      </c>
      <c r="D51" s="15">
        <f>HLOOKUP('Date Drivers'!$B$1,'Date Drivers'!$A$2:$Z$120,67,FALSE)</f>
        <v>0</v>
      </c>
    </row>
    <row r="52" spans="1:4" x14ac:dyDescent="0.25">
      <c r="B52" s="16">
        <v>2</v>
      </c>
      <c r="C52" s="23" t="str">
        <f>HLOOKUP('Date Drivers'!$B$1,'Date Drivers'!$A$2:$Z$120,62,FALSE)</f>
        <v>3.3V TNC Female active GNSS antenna</v>
      </c>
      <c r="D52" s="16">
        <f>HLOOKUP('Date Drivers'!$B$1,'Date Drivers'!$A$2:$Z$120,68,FALSE)</f>
        <v>2</v>
      </c>
    </row>
    <row r="53" spans="1:4" x14ac:dyDescent="0.25">
      <c r="B53" s="16">
        <v>3</v>
      </c>
      <c r="C53" s="23"/>
      <c r="D53" s="16"/>
    </row>
    <row r="54" spans="1:4" x14ac:dyDescent="0.25">
      <c r="B54" s="16">
        <v>4</v>
      </c>
      <c r="C54" s="23"/>
      <c r="D54" s="16"/>
    </row>
    <row r="55" spans="1:4" x14ac:dyDescent="0.25">
      <c r="B55" s="21">
        <v>5</v>
      </c>
      <c r="C55" s="24"/>
      <c r="D55" s="21"/>
    </row>
    <row r="57" spans="1:4" x14ac:dyDescent="0.25">
      <c r="A57" s="20" t="str">
        <f>'Date Drivers'!$A$74</f>
        <v>Antenna Cable</v>
      </c>
      <c r="B57" s="93">
        <v>4</v>
      </c>
      <c r="C57" s="26" t="str">
        <f>VLOOKUP($B$57,$B$58:$D$64,2,FALSE)</f>
        <v>100 m (328 ft) TNC Male to BNC Male (Attennuation &lt; 0.2 dB/m @ 1500 MHZ)</v>
      </c>
      <c r="D57" s="26">
        <f>VLOOKUP($B$57,$B$58:$D$64,3,FALSE)</f>
        <v>5</v>
      </c>
    </row>
    <row r="58" spans="1:4" x14ac:dyDescent="0.25">
      <c r="B58" s="15">
        <v>1</v>
      </c>
      <c r="C58" s="22" t="str">
        <f>HLOOKUP('Date Drivers'!$B$1,'Date Drivers'!$A$2:$Z$120,73,FALSE)</f>
        <v>No cable</v>
      </c>
      <c r="D58" s="15">
        <f>HLOOKUP('Date Drivers'!$B$1,'Date Drivers'!$A$2:$Z$120,82,FALSE)</f>
        <v>0</v>
      </c>
    </row>
    <row r="59" spans="1:4" x14ac:dyDescent="0.25">
      <c r="B59" s="16">
        <v>2</v>
      </c>
      <c r="C59" s="23" t="str">
        <f>HLOOKUP('Date Drivers'!$B$1,'Date Drivers'!$A$2:$Z$120,74,FALSE)</f>
        <v>25 m (82 ft) TNC Male to BNC Male (Attennuation &lt; 0.5 dB/m @ 1500 MHZ)</v>
      </c>
      <c r="D59" s="16">
        <f>HLOOKUP('Date Drivers'!$B$1,'Date Drivers'!$A$2:$Z$120,83,FALSE)</f>
        <v>2</v>
      </c>
    </row>
    <row r="60" spans="1:4" x14ac:dyDescent="0.25">
      <c r="B60" s="16">
        <v>3</v>
      </c>
      <c r="C60" s="23" t="str">
        <f>HLOOKUP('Date Drivers'!$B$1,'Date Drivers'!$A$2:$Z$120,75,FALSE)</f>
        <v>40 m (131 ft) TNC Male to BNC Male (Attennuation &lt; 0.5 dB/m @ 1500 MHZ)</v>
      </c>
      <c r="D60" s="16">
        <f>HLOOKUP('Date Drivers'!$B$1,'Date Drivers'!$A$2:$Z$120,84,FALSE)</f>
        <v>3</v>
      </c>
    </row>
    <row r="61" spans="1:4" x14ac:dyDescent="0.25">
      <c r="B61" s="16">
        <v>4</v>
      </c>
      <c r="C61" s="23" t="str">
        <f>HLOOKUP('Date Drivers'!$B$1,'Date Drivers'!$A$2:$Z$120,76,FALSE)</f>
        <v>100 m (328 ft) TNC Male to BNC Male (Attennuation &lt; 0.2 dB/m @ 1500 MHZ)</v>
      </c>
      <c r="D61" s="16">
        <f>HLOOKUP('Date Drivers'!$B$1,'Date Drivers'!$A$2:$Z$120,85,FALSE)</f>
        <v>5</v>
      </c>
    </row>
    <row r="62" spans="1:4" x14ac:dyDescent="0.25">
      <c r="B62" s="16">
        <v>5</v>
      </c>
      <c r="C62" s="23"/>
      <c r="D62" s="16"/>
    </row>
    <row r="63" spans="1:4" x14ac:dyDescent="0.25">
      <c r="B63" s="16">
        <v>6</v>
      </c>
      <c r="C63" s="23"/>
      <c r="D63" s="16"/>
    </row>
    <row r="64" spans="1:4" x14ac:dyDescent="0.25">
      <c r="B64" s="16">
        <v>7</v>
      </c>
      <c r="C64" s="23"/>
      <c r="D64" s="16"/>
    </row>
    <row r="65" spans="1:4" x14ac:dyDescent="0.25">
      <c r="B65" s="16">
        <v>8</v>
      </c>
      <c r="C65" s="23"/>
      <c r="D65" s="16"/>
    </row>
    <row r="66" spans="1:4" x14ac:dyDescent="0.25">
      <c r="B66" s="16">
        <v>9</v>
      </c>
      <c r="C66" s="23"/>
      <c r="D66" s="16"/>
    </row>
    <row r="67" spans="1:4" x14ac:dyDescent="0.25">
      <c r="B67" s="21">
        <v>10</v>
      </c>
      <c r="C67" s="24" t="str">
        <f>"  "&amp;HLOOKUP('Date Drivers'!$B$1,'Date Drivers'!$A$2:$Z$77,9,FALSE)</f>
        <v xml:space="preserve">  </v>
      </c>
      <c r="D67" s="21"/>
    </row>
    <row r="69" spans="1:4" x14ac:dyDescent="0.25">
      <c r="A69" s="20" t="str">
        <f>'Date Drivers'!$A$92</f>
        <v>Surge Arrester</v>
      </c>
      <c r="B69" s="94">
        <v>2</v>
      </c>
      <c r="C69" s="28" t="str">
        <f>VLOOKUP($B$69,$B$70:$D$71,2,FALSE)</f>
        <v>10 kA, 50 Ohms, BNC-type connector Surge Arrester for 0-2000 MHz</v>
      </c>
      <c r="D69" s="28">
        <f>VLOOKUP($B$69,$B$70:$D$71,3,FALSE)</f>
        <v>1</v>
      </c>
    </row>
    <row r="70" spans="1:4" x14ac:dyDescent="0.25">
      <c r="B70" s="15">
        <v>1</v>
      </c>
      <c r="C70" s="22" t="str">
        <f>HLOOKUP('Date Drivers'!$B$1,'Date Drivers'!$A$2:$Z$120,91,FALSE)</f>
        <v>Without surge arrester</v>
      </c>
      <c r="D70" s="15">
        <f>HLOOKUP('Date Drivers'!$B$1,'Date Drivers'!$A$2:$Z$120,97,FALSE)</f>
        <v>0</v>
      </c>
    </row>
    <row r="71" spans="1:4" x14ac:dyDescent="0.25">
      <c r="B71" s="16">
        <v>2</v>
      </c>
      <c r="C71" s="23" t="str">
        <f>HLOOKUP('Date Drivers'!$B$1,'Date Drivers'!$A$2:$Z$120,92,FALSE)</f>
        <v>10 kA, 50 Ohms, BNC-type connector Surge Arrester for 0-2000 MHz</v>
      </c>
      <c r="D71" s="16">
        <f>HLOOKUP('Date Drivers'!$B$1,'Date Drivers'!$A$2:$Z$120,98,FALSE)</f>
        <v>1</v>
      </c>
    </row>
    <row r="72" spans="1:4" x14ac:dyDescent="0.25">
      <c r="B72" s="16">
        <v>3</v>
      </c>
      <c r="C72" s="23"/>
      <c r="D72" s="16"/>
    </row>
    <row r="73" spans="1:4" x14ac:dyDescent="0.25">
      <c r="B73" s="16">
        <v>4</v>
      </c>
      <c r="C73" s="23"/>
      <c r="D73" s="16"/>
    </row>
    <row r="74" spans="1:4" x14ac:dyDescent="0.25">
      <c r="B74" s="21">
        <v>5</v>
      </c>
      <c r="C74" s="24"/>
      <c r="D74" s="21"/>
    </row>
  </sheetData>
  <phoneticPr fontId="1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L103"/>
  <sheetViews>
    <sheetView workbookViewId="0">
      <pane xSplit="1" ySplit="1" topLeftCell="J59" activePane="bottomRight" state="frozen"/>
      <selection pane="topRight" activeCell="B1" sqref="B1"/>
      <selection pane="bottomLeft" activeCell="A2" sqref="A2"/>
      <selection pane="bottomRight" activeCell="L89" sqref="L89"/>
    </sheetView>
  </sheetViews>
  <sheetFormatPr defaultColWidth="9.1796875" defaultRowHeight="11.5" x14ac:dyDescent="0.25"/>
  <cols>
    <col min="1" max="1" width="26.81640625" style="3" bestFit="1" customWidth="1"/>
    <col min="2" max="9" width="68.26953125" style="19" bestFit="1" customWidth="1"/>
    <col min="10" max="12" width="68.26953125" style="3" bestFit="1" customWidth="1"/>
    <col min="13" max="16384" width="9.1796875" style="3"/>
  </cols>
  <sheetData>
    <row r="1" spans="1:12" x14ac:dyDescent="0.25">
      <c r="A1" s="3" t="s">
        <v>6</v>
      </c>
      <c r="B1" s="4">
        <f>Database!$C$1</f>
        <v>45238</v>
      </c>
      <c r="C1" s="4">
        <f>Database!$C$1</f>
        <v>45238</v>
      </c>
      <c r="D1" s="4">
        <f>Database!$C$1</f>
        <v>45238</v>
      </c>
      <c r="E1" s="4">
        <f>Database!$C$1</f>
        <v>45238</v>
      </c>
      <c r="F1" s="4">
        <f>Database!$C$1</f>
        <v>45238</v>
      </c>
      <c r="G1" s="4">
        <f>Database!$C$1</f>
        <v>45238</v>
      </c>
      <c r="H1" s="4">
        <f>Database!$C$1</f>
        <v>45238</v>
      </c>
      <c r="I1" s="4">
        <f>Database!$C$1</f>
        <v>45238</v>
      </c>
      <c r="J1" s="4">
        <f>Database!$C$1</f>
        <v>45238</v>
      </c>
      <c r="K1" s="4">
        <f>Database!$C$1</f>
        <v>45238</v>
      </c>
      <c r="L1" s="4">
        <f>Database!$C$1</f>
        <v>45238</v>
      </c>
    </row>
    <row r="2" spans="1:12" x14ac:dyDescent="0.25">
      <c r="B2" s="5">
        <v>41852</v>
      </c>
      <c r="C2" s="5">
        <v>41985</v>
      </c>
      <c r="D2" s="5">
        <v>42130</v>
      </c>
      <c r="E2" s="5">
        <v>42398</v>
      </c>
      <c r="F2" s="5">
        <v>42443</v>
      </c>
      <c r="G2" s="5">
        <v>42494</v>
      </c>
      <c r="H2" s="5">
        <v>42555</v>
      </c>
      <c r="I2" s="5">
        <v>42650</v>
      </c>
      <c r="J2" s="5">
        <v>42800</v>
      </c>
      <c r="K2" s="5">
        <v>43371</v>
      </c>
      <c r="L2" s="5">
        <v>45238</v>
      </c>
    </row>
    <row r="3" spans="1:12" x14ac:dyDescent="0.25">
      <c r="A3" s="6" t="str">
        <f>HLOOKUP(Language!$C$3,Language!$E$1:$Z571,2,FALSE)</f>
        <v>Model Type</v>
      </c>
      <c r="B3" s="7" t="str">
        <f>CONCATENATE(B4," ",HLOOKUP(Language!$C$3,Language!$E$1:$Z500,3,FALSE))</f>
        <v>RT431 Time Code Generator</v>
      </c>
      <c r="C3" s="7" t="str">
        <f>CONCATENATE(C4," ",HLOOKUP(Language!$C$3,Language!$E$1:$Z500,3,FALSE))</f>
        <v>RT431 Time Code Generator</v>
      </c>
      <c r="D3" s="7" t="str">
        <f>CONCATENATE(D4," ",HLOOKUP(Language!$C$3,Language!$E$1:$Z500,3,FALSE))</f>
        <v>RT431 Time Code Generator</v>
      </c>
      <c r="E3" s="7" t="str">
        <f>CONCATENATE(E4," ",HLOOKUP(Language!$C$3,Language!$E$1:$Z500,3,FALSE))</f>
        <v>RT431 Time Code Generator</v>
      </c>
      <c r="F3" s="7" t="str">
        <f>CONCATENATE(F4," ",HLOOKUP(Language!$C$3,Language!$E$1:$Z500,3,FALSE))</f>
        <v>RT431 Time Code Generator</v>
      </c>
      <c r="G3" s="7" t="str">
        <f>CONCATENATE(G4," ",HLOOKUP(Language!$C$3,Language!$E$1:$Z500,3,FALSE))</f>
        <v>RT431 Time Code Generator</v>
      </c>
      <c r="H3" s="7" t="str">
        <f>CONCATENATE(H4," ",HLOOKUP(Language!$C$3,Language!$E$1:$Z500,3,FALSE))</f>
        <v>RT431 Time Code Generator</v>
      </c>
      <c r="I3" s="7" t="str">
        <f>CONCATENATE(I4," ",HLOOKUP(Language!$C$3,Language!$E$1:$Z500,3,FALSE))</f>
        <v>RT431 Time Code Generator</v>
      </c>
      <c r="J3" s="7" t="str">
        <f>CONCATENATE(J4," ",HLOOKUP(Language!$C$3,Language!$E$1:$Z500,75,FALSE))</f>
        <v>RT431 GPS Precision-Time Clock</v>
      </c>
      <c r="K3" s="7" t="str">
        <f>CONCATENATE(K4," ",HLOOKUP(Language!$C$3,Language!$E$1:$Z500,75,FALSE))</f>
        <v>RT431 GPS Precision-Time Clock</v>
      </c>
      <c r="L3" s="7" t="str">
        <f>CONCATENATE(L4," ",HLOOKUP(Language!$C$3,Language!$E$1:$Z500,75,FALSE))</f>
        <v>RT431 GPS Precision-Time Clock</v>
      </c>
    </row>
    <row r="4" spans="1:12" x14ac:dyDescent="0.25">
      <c r="B4" s="8" t="str">
        <f>HLOOKUP(Language!$C$3,Language!$E$1:$Z500,4,FALSE)</f>
        <v>RT431</v>
      </c>
      <c r="C4" s="8" t="str">
        <f>HLOOKUP(Language!$C$3,Language!$E$1:$Z500,4,FALSE)</f>
        <v>RT431</v>
      </c>
      <c r="D4" s="8" t="str">
        <f>HLOOKUP(Language!$C$3,Language!$E$1:$Z500,4,FALSE)</f>
        <v>RT431</v>
      </c>
      <c r="E4" s="8" t="str">
        <f>HLOOKUP(Language!$C$3,Language!$E$1:$Z500,4,FALSE)</f>
        <v>RT431</v>
      </c>
      <c r="F4" s="8" t="str">
        <f>HLOOKUP(Language!$C$3,Language!$E$1:$Z500,4,FALSE)</f>
        <v>RT431</v>
      </c>
      <c r="G4" s="8" t="str">
        <f>HLOOKUP(Language!$C$3,Language!$E$1:$Z500,4,FALSE)</f>
        <v>RT431</v>
      </c>
      <c r="H4" s="8" t="str">
        <f>HLOOKUP(Language!$C$3,Language!$E$1:$Z500,4,FALSE)</f>
        <v>RT431</v>
      </c>
      <c r="I4" s="8" t="str">
        <f>HLOOKUP(Language!$C$3,Language!$E$1:$Z500,4,FALSE)</f>
        <v>RT431</v>
      </c>
      <c r="J4" s="8" t="str">
        <f>HLOOKUP(Language!$C$3,Language!$E$1:$Z500,4,FALSE)</f>
        <v>RT431</v>
      </c>
      <c r="K4" s="8" t="str">
        <f>HLOOKUP(Language!$C$3,Language!$E$1:$Z500,4,FALSE)</f>
        <v>RT431</v>
      </c>
      <c r="L4" s="8" t="str">
        <f>HLOOKUP(Language!$C$3,Language!$E$1:$Z500,4,FALSE)</f>
        <v>RT431</v>
      </c>
    </row>
    <row r="5" spans="1:12" x14ac:dyDescent="0.25">
      <c r="B5" s="9"/>
      <c r="C5" s="9"/>
      <c r="D5" s="9"/>
      <c r="E5" s="9"/>
      <c r="F5" s="9"/>
      <c r="G5" s="9"/>
      <c r="H5" s="9"/>
      <c r="I5" s="9"/>
      <c r="J5" s="9"/>
      <c r="K5" s="9"/>
      <c r="L5" s="9"/>
    </row>
    <row r="6" spans="1:12" x14ac:dyDescent="0.25">
      <c r="A6" s="10" t="str">
        <f>HLOOKUP(Language!$C$3,Language!$E$1:$Z571,5,FALSE)</f>
        <v>Power Supply</v>
      </c>
      <c r="B6" s="11" t="str">
        <f>HLOOKUP(Language!$C$3,Language!$E$1:$Z500,6,FALSE)</f>
        <v>100-250 Vdc / 110-240 Vac</v>
      </c>
      <c r="C6" s="11" t="str">
        <f>HLOOKUP(Language!$C$3,Language!$E$1:$Z500,52,FALSE)</f>
        <v>24-48 Vdc</v>
      </c>
      <c r="D6" s="11" t="str">
        <f>HLOOKUP(Language!$C$3,Language!$E$1:$Z500,52,FALSE)</f>
        <v>24-48 Vdc</v>
      </c>
      <c r="E6" s="11" t="str">
        <f>HLOOKUP(Language!$C$3,Language!$E$1:$Z500,52,FALSE)</f>
        <v>24-48 Vdc</v>
      </c>
      <c r="F6" s="11" t="str">
        <f>HLOOKUP(Language!$C$3,Language!$E$1:$Z500,52,FALSE)</f>
        <v>24-48 Vdc</v>
      </c>
      <c r="G6" s="11" t="str">
        <f>HLOOKUP(Language!$C$3,Language!$E$1:$Z500,52,FALSE)</f>
        <v>24-48 Vdc</v>
      </c>
      <c r="H6" s="11" t="str">
        <f>HLOOKUP(Language!$C$3,Language!$E$1:$Z500,52,FALSE)</f>
        <v>24-48 Vdc</v>
      </c>
      <c r="I6" s="11" t="str">
        <f>HLOOKUP(Language!$C$3,Language!$E$1:$Z500,52,FALSE)</f>
        <v>24-48 Vdc</v>
      </c>
      <c r="J6" s="11" t="str">
        <f>HLOOKUP(Language!$C$3,Language!$E$1:$Z500,52,FALSE)</f>
        <v>24-48 Vdc</v>
      </c>
      <c r="K6" s="11" t="str">
        <f>HLOOKUP(Language!$C$3,Language!$E$1:$Z500,52,FALSE)</f>
        <v>24-48 Vdc</v>
      </c>
      <c r="L6" s="11" t="str">
        <f>HLOOKUP(Language!$C$3,Language!$E$1:$Z500,52,FALSE)</f>
        <v>24-48 Vdc</v>
      </c>
    </row>
    <row r="7" spans="1:12" x14ac:dyDescent="0.25">
      <c r="B7" s="12"/>
      <c r="C7" s="12" t="str">
        <f>HLOOKUP(Language!$C$3,Language!$E$1:$Z501,6,FALSE)</f>
        <v>100-250 Vdc / 110-240 Vac</v>
      </c>
      <c r="D7" s="12" t="str">
        <f>HLOOKUP(Language!$C$3,Language!$E$1:$Z501,6,FALSE)</f>
        <v>100-250 Vdc / 110-240 Vac</v>
      </c>
      <c r="E7" s="12" t="str">
        <f>HLOOKUP(Language!$C$3,Language!$E$1:$Z501,6,FALSE)</f>
        <v>100-250 Vdc / 110-240 Vac</v>
      </c>
      <c r="F7" s="12" t="str">
        <f>HLOOKUP(Language!$C$3,Language!$E$1:$Z501,6,FALSE)</f>
        <v>100-250 Vdc / 110-240 Vac</v>
      </c>
      <c r="G7" s="12" t="str">
        <f>HLOOKUP(Language!$C$3,Language!$E$1:$Z501,6,FALSE)</f>
        <v>100-250 Vdc / 110-240 Vac</v>
      </c>
      <c r="H7" s="12" t="str">
        <f>HLOOKUP(Language!$C$3,Language!$E$1:$Z501,6,FALSE)</f>
        <v>100-250 Vdc / 110-240 Vac</v>
      </c>
      <c r="I7" s="12" t="str">
        <f>HLOOKUP(Language!$C$3,Language!$E$1:$Z501,6,FALSE)</f>
        <v>100-250 Vdc / 110-240 Vac</v>
      </c>
      <c r="J7" s="12" t="str">
        <f>HLOOKUP(Language!$C$3,Language!$E$1:$Z501,6,FALSE)</f>
        <v>100-250 Vdc / 110-240 Vac</v>
      </c>
      <c r="K7" s="12" t="str">
        <f>HLOOKUP(Language!$C$3,Language!$E$1:$Z501,6,FALSE)</f>
        <v>100-250 Vdc / 110-240 Vac</v>
      </c>
      <c r="L7" s="12" t="str">
        <f>HLOOKUP(Language!$C$3,Language!$E$1:$Z501,6,FALSE)</f>
        <v>100-250 Vdc / 110-240 Vac</v>
      </c>
    </row>
    <row r="8" spans="1:12" x14ac:dyDescent="0.25">
      <c r="B8" s="12"/>
      <c r="C8" s="12"/>
      <c r="D8" s="12"/>
      <c r="E8" s="12"/>
      <c r="F8" s="12"/>
      <c r="G8" s="12"/>
      <c r="H8" s="12"/>
      <c r="I8" s="12"/>
      <c r="J8" s="12"/>
      <c r="K8" s="12"/>
      <c r="L8" s="12"/>
    </row>
    <row r="9" spans="1:12" x14ac:dyDescent="0.25">
      <c r="B9" s="12"/>
      <c r="C9" s="12"/>
      <c r="D9" s="12"/>
      <c r="E9" s="12"/>
      <c r="F9" s="12"/>
      <c r="G9" s="12"/>
      <c r="H9" s="12"/>
      <c r="I9" s="12"/>
      <c r="J9" s="12"/>
      <c r="K9" s="12"/>
      <c r="L9" s="12"/>
    </row>
    <row r="10" spans="1:12" x14ac:dyDescent="0.25">
      <c r="A10" s="121"/>
      <c r="B10" s="9"/>
      <c r="C10" s="9"/>
      <c r="D10" s="9"/>
      <c r="E10" s="9"/>
      <c r="F10" s="9"/>
      <c r="G10" s="9"/>
      <c r="H10" s="9"/>
      <c r="I10" s="9"/>
      <c r="J10" s="9"/>
      <c r="K10" s="9"/>
      <c r="L10" s="9"/>
    </row>
    <row r="11" spans="1:12" x14ac:dyDescent="0.25">
      <c r="A11" s="121"/>
      <c r="B11" s="8">
        <v>3</v>
      </c>
      <c r="C11" s="8">
        <v>1</v>
      </c>
      <c r="D11" s="8">
        <v>1</v>
      </c>
      <c r="E11" s="8">
        <v>1</v>
      </c>
      <c r="F11" s="8">
        <v>1</v>
      </c>
      <c r="G11" s="8">
        <v>1</v>
      </c>
      <c r="H11" s="8">
        <v>1</v>
      </c>
      <c r="I11" s="8">
        <v>1</v>
      </c>
      <c r="J11" s="8">
        <v>1</v>
      </c>
      <c r="K11" s="8">
        <v>1</v>
      </c>
      <c r="L11" s="8">
        <v>1</v>
      </c>
    </row>
    <row r="12" spans="1:12" x14ac:dyDescent="0.25">
      <c r="B12" s="9"/>
      <c r="C12" s="9">
        <v>3</v>
      </c>
      <c r="D12" s="9">
        <v>3</v>
      </c>
      <c r="E12" s="9">
        <v>3</v>
      </c>
      <c r="F12" s="9">
        <v>3</v>
      </c>
      <c r="G12" s="9">
        <v>3</v>
      </c>
      <c r="H12" s="9">
        <v>3</v>
      </c>
      <c r="I12" s="9">
        <v>3</v>
      </c>
      <c r="J12" s="9">
        <v>3</v>
      </c>
      <c r="K12" s="9">
        <v>3</v>
      </c>
      <c r="L12" s="9">
        <v>3</v>
      </c>
    </row>
    <row r="13" spans="1:12" x14ac:dyDescent="0.25">
      <c r="B13" s="9"/>
      <c r="C13" s="9"/>
      <c r="D13" s="9"/>
      <c r="E13" s="9"/>
      <c r="F13" s="9"/>
      <c r="G13" s="9"/>
      <c r="H13" s="9"/>
      <c r="I13" s="9"/>
      <c r="J13" s="9"/>
      <c r="K13" s="9"/>
      <c r="L13" s="9"/>
    </row>
    <row r="14" spans="1:12" x14ac:dyDescent="0.25">
      <c r="B14" s="9"/>
      <c r="C14" s="9"/>
      <c r="D14" s="9"/>
      <c r="E14" s="9"/>
      <c r="F14" s="9"/>
      <c r="G14" s="9"/>
      <c r="H14" s="9"/>
      <c r="I14" s="9"/>
      <c r="J14" s="9"/>
      <c r="K14" s="9"/>
      <c r="L14" s="9"/>
    </row>
    <row r="15" spans="1:12" x14ac:dyDescent="0.25">
      <c r="B15" s="9"/>
      <c r="C15" s="9"/>
      <c r="D15" s="9"/>
      <c r="E15" s="9"/>
      <c r="F15" s="9"/>
      <c r="G15" s="9"/>
      <c r="H15" s="9"/>
      <c r="I15" s="9"/>
      <c r="J15" s="9"/>
      <c r="K15" s="9"/>
      <c r="L15" s="9"/>
    </row>
    <row r="16" spans="1:12" x14ac:dyDescent="0.25">
      <c r="A16" s="10" t="str">
        <f>HLOOKUP(Language!$C$3,Language!$E$1:$Z571,9,FALSE)</f>
        <v>Ethernet Interface</v>
      </c>
      <c r="B16" s="14" t="str">
        <f>HLOOKUP(Language!$C$3,Language!$E$1:$Z500,10,FALSE)</f>
        <v>RJ45 copper 100BASE-TX for configuration only</v>
      </c>
      <c r="C16" s="14" t="str">
        <f>HLOOKUP(Language!$C$3,Language!$E$1:$Z500,10,FALSE)</f>
        <v>RJ45 copper 100BASE-TX for configuration only</v>
      </c>
      <c r="D16" s="14" t="str">
        <f>HLOOKUP(Language!$C$3,Language!$E$1:$Z500,10,FALSE)</f>
        <v>RJ45 copper 100BASE-TX for configuration only</v>
      </c>
      <c r="E16" s="14" t="str">
        <f>HLOOKUP(Language!$C$3,Language!$E$1:$Z500,10,FALSE)</f>
        <v>RJ45 copper 100BASE-TX for configuration only</v>
      </c>
      <c r="F16" s="14" t="str">
        <f>HLOOKUP(Language!$C$3,Language!$E$1:$Z500,10,FALSE)</f>
        <v>RJ45 copper 100BASE-TX for configuration only</v>
      </c>
      <c r="G16" s="14" t="str">
        <f>HLOOKUP(Language!$C$3,Language!$E$1:$Z500,10,FALSE)</f>
        <v>RJ45 copper 100BASE-TX for configuration only</v>
      </c>
      <c r="H16" s="14" t="str">
        <f>HLOOKUP(Language!$C$3,Language!$E$1:$Z500,10,FALSE)</f>
        <v>RJ45 copper 100BASE-TX for configuration only</v>
      </c>
      <c r="I16" s="14" t="str">
        <f>HLOOKUP(Language!$C$3,Language!$E$1:$Z500,10,FALSE)</f>
        <v>RJ45 copper 100BASE-TX for configuration only</v>
      </c>
      <c r="J16" s="14" t="str">
        <f>HLOOKUP(Language!$C$3,Language!$E$1:$Z500,10,FALSE)</f>
        <v>RJ45 copper 100BASE-TX for configuration only</v>
      </c>
      <c r="K16" s="14" t="str">
        <f>HLOOKUP(Language!$C$3,Language!$E$1:$Z500,10,FALSE)</f>
        <v>RJ45 copper 100BASE-TX for configuration only</v>
      </c>
      <c r="L16" s="14" t="str">
        <f>HLOOKUP(Language!$C$3,Language!$E$1:$Z500,10,FALSE)</f>
        <v>RJ45 copper 100BASE-TX for configuration only</v>
      </c>
    </row>
    <row r="17" spans="1:12" x14ac:dyDescent="0.25">
      <c r="A17" s="25"/>
      <c r="B17" s="9" t="str">
        <f>HLOOKUP(Language!$C$3,Language!$E$1:$Z500,11,FALSE)</f>
        <v>RJ45 copper 100BASE-TX for NTP server and configuration</v>
      </c>
      <c r="C17" s="9" t="str">
        <f>HLOOKUP(Language!$C$3,Language!$E$1:$Z500,11,FALSE)</f>
        <v>RJ45 copper 100BASE-TX for NTP server and configuration</v>
      </c>
      <c r="D17" s="9" t="str">
        <f>HLOOKUP(Language!$C$3,Language!$E$1:$Z500,11,FALSE)</f>
        <v>RJ45 copper 100BASE-TX for NTP server and configuration</v>
      </c>
      <c r="E17" s="9" t="str">
        <f>HLOOKUP(Language!$C$3,Language!$E$1:$Z500,11,FALSE)</f>
        <v>RJ45 copper 100BASE-TX for NTP server and configuration</v>
      </c>
      <c r="F17" s="9" t="str">
        <f>HLOOKUP(Language!$C$3,Language!$E$1:$Z500,11,FALSE)</f>
        <v>RJ45 copper 100BASE-TX for NTP server and configuration</v>
      </c>
      <c r="G17" s="9" t="str">
        <f>HLOOKUP(Language!$C$3,Language!$E$1:$Z500,11,FALSE)</f>
        <v>RJ45 copper 100BASE-TX for NTP server and configuration</v>
      </c>
      <c r="H17" s="9" t="str">
        <f>HLOOKUP(Language!$C$3,Language!$E$1:$Z500,11,FALSE)</f>
        <v>RJ45 copper 100BASE-TX for NTP server and configuration</v>
      </c>
      <c r="I17" s="9" t="str">
        <f>HLOOKUP(Language!$C$3,Language!$E$1:$Z500,11,FALSE)</f>
        <v>RJ45 copper 100BASE-TX for NTP server and configuration</v>
      </c>
      <c r="J17" s="9" t="str">
        <f>HLOOKUP(Language!$C$3,Language!$E$1:$Z500,11,FALSE)</f>
        <v>RJ45 copper 100BASE-TX for NTP server and configuration</v>
      </c>
      <c r="K17" s="9" t="str">
        <f>HLOOKUP(Language!$C$3,Language!$E$1:$Z500,11,FALSE)</f>
        <v>RJ45 copper 100BASE-TX for NTP server and configuration</v>
      </c>
      <c r="L17" s="9" t="str">
        <f>HLOOKUP(Language!$C$3,Language!$E$1:$Z500,11,FALSE)</f>
        <v>RJ45 copper 100BASE-TX for NTP server and configuration</v>
      </c>
    </row>
    <row r="18" spans="1:12" x14ac:dyDescent="0.25">
      <c r="A18" s="25"/>
      <c r="B18" s="9" t="str">
        <f>HLOOKUP(Language!$C$3,Language!$E$1:$Z500,12,FALSE)</f>
        <v>RJ45 copper 100BASE-TX for PTP (IEEE 1588) server, NTP server and configuration</v>
      </c>
      <c r="C18" s="9" t="str">
        <f>HLOOKUP(Language!$C$3,Language!$E$1:$Z500,12,FALSE)</f>
        <v>RJ45 copper 100BASE-TX for PTP (IEEE 1588) server, NTP server and configuration</v>
      </c>
      <c r="D18" s="9" t="str">
        <f>HLOOKUP(Language!$C$3,Language!$E$1:$Z500,12,FALSE)</f>
        <v>RJ45 copper 100BASE-TX for PTP (IEEE 1588) server, NTP server and configuration</v>
      </c>
      <c r="E18" s="9" t="str">
        <f>HLOOKUP(Language!$C$3,Language!$E$1:$Z500,12,FALSE)</f>
        <v>RJ45 copper 100BASE-TX for PTP (IEEE 1588) server, NTP server and configuration</v>
      </c>
      <c r="F18" s="9" t="str">
        <f>HLOOKUP(Language!$C$3,Language!$E$1:$Z500,12,FALSE)</f>
        <v>RJ45 copper 100BASE-TX for PTP (IEEE 1588) server, NTP server and configuration</v>
      </c>
      <c r="G18" s="9" t="str">
        <f>HLOOKUP(Language!$C$3,Language!$E$1:$Z500,12,FALSE)</f>
        <v>RJ45 copper 100BASE-TX for PTP (IEEE 1588) server, NTP server and configuration</v>
      </c>
      <c r="H18" s="9" t="str">
        <f>HLOOKUP(Language!$C$3,Language!$E$1:$Z500,12,FALSE)</f>
        <v>RJ45 copper 100BASE-TX for PTP (IEEE 1588) server, NTP server and configuration</v>
      </c>
      <c r="I18" s="9" t="str">
        <f>HLOOKUP(Language!$C$3,Language!$E$1:$Z500,12,FALSE)</f>
        <v>RJ45 copper 100BASE-TX for PTP (IEEE 1588) server, NTP server and configuration</v>
      </c>
      <c r="J18" s="9" t="str">
        <f>HLOOKUP(Language!$C$3,Language!$E$1:$Z500,12,FALSE)</f>
        <v>RJ45 copper 100BASE-TX for PTP (IEEE 1588) server, NTP server and configuration</v>
      </c>
      <c r="K18" s="9" t="str">
        <f>HLOOKUP(Language!$C$3,Language!$E$1:$Z500,12,FALSE)</f>
        <v>RJ45 copper 100BASE-TX for PTP (IEEE 1588) server, NTP server and configuration</v>
      </c>
      <c r="L18" s="9" t="str">
        <f>HLOOKUP(Language!$C$3,Language!$E$1:$Z500,12,FALSE)</f>
        <v>RJ45 copper 100BASE-TX for PTP (IEEE 1588) server, NTP server and configuration</v>
      </c>
    </row>
    <row r="19" spans="1:12" x14ac:dyDescent="0.25">
      <c r="A19" s="25"/>
      <c r="B19" s="9" t="str">
        <f>HLOOKUP(Language!$C$3,Language!$E$1:$Z500,37,FALSE)</f>
        <v>RJ45 copper 100BASE-TX for PTP (IEEE 1588) client</v>
      </c>
      <c r="C19" s="9" t="str">
        <f>HLOOKUP(Language!$C$3,Language!$E$1:$Z500,37,FALSE)</f>
        <v>RJ45 copper 100BASE-TX for PTP (IEEE 1588) client</v>
      </c>
      <c r="D19" s="9" t="str">
        <f>HLOOKUP(Language!$C$3,Language!$E$1:$Z500,37,FALSE)</f>
        <v>RJ45 copper 100BASE-TX for PTP (IEEE 1588) client</v>
      </c>
      <c r="E19" s="9" t="str">
        <f>HLOOKUP(Language!$C$3,Language!$E$1:$Z500,37,FALSE)</f>
        <v>RJ45 copper 100BASE-TX for PTP (IEEE 1588) client</v>
      </c>
      <c r="F19" s="9" t="str">
        <f>HLOOKUP(Language!$C$3,Language!$E$1:$Z500,37,FALSE)</f>
        <v>RJ45 copper 100BASE-TX for PTP (IEEE 1588) client</v>
      </c>
      <c r="G19" s="9" t="str">
        <f>HLOOKUP(Language!$C$3,Language!$E$1:$Z500,37,FALSE)</f>
        <v>RJ45 copper 100BASE-TX for PTP (IEEE 1588) client</v>
      </c>
      <c r="H19" s="9" t="str">
        <f>HLOOKUP(Language!$C$3,Language!$E$1:$Z500,37,FALSE)</f>
        <v>RJ45 copper 100BASE-TX for PTP (IEEE 1588) client</v>
      </c>
      <c r="I19" s="9" t="str">
        <f>HLOOKUP(Language!$C$3,Language!$E$1:$Z500,37,FALSE)</f>
        <v>RJ45 copper 100BASE-TX for PTP (IEEE 1588) client</v>
      </c>
      <c r="J19" s="9" t="str">
        <f>HLOOKUP(Language!$C$3,Language!$E$1:$Z500,37,FALSE)</f>
        <v>RJ45 copper 100BASE-TX for PTP (IEEE 1588) client</v>
      </c>
      <c r="K19" s="9" t="str">
        <f>HLOOKUP(Language!$C$3,Language!$E$1:$Z500,37,FALSE)</f>
        <v>RJ45 copper 100BASE-TX for PTP (IEEE 1588) client</v>
      </c>
      <c r="L19" s="9" t="str">
        <f>HLOOKUP(Language!$C$3,Language!$E$1:$Z500,37,FALSE)</f>
        <v>RJ45 copper 100BASE-TX for PTP (IEEE 1588) client</v>
      </c>
    </row>
    <row r="20" spans="1:12" x14ac:dyDescent="0.25">
      <c r="A20" s="25"/>
      <c r="B20" s="9"/>
      <c r="C20" s="9"/>
      <c r="D20" s="9"/>
      <c r="E20" s="9"/>
      <c r="F20" s="9"/>
      <c r="G20" s="9"/>
      <c r="H20" s="9"/>
      <c r="I20" s="9"/>
      <c r="J20" s="9"/>
      <c r="K20" s="9"/>
      <c r="L20" s="9"/>
    </row>
    <row r="21" spans="1:12" x14ac:dyDescent="0.25">
      <c r="A21" s="25"/>
      <c r="B21" s="9"/>
      <c r="C21" s="9"/>
      <c r="D21" s="9"/>
      <c r="E21" s="9"/>
      <c r="F21" s="9"/>
      <c r="G21" s="9"/>
      <c r="H21" s="9"/>
      <c r="I21" s="9"/>
      <c r="J21" s="9"/>
      <c r="K21" s="9"/>
      <c r="L21" s="9"/>
    </row>
    <row r="22" spans="1:12" x14ac:dyDescent="0.25">
      <c r="B22" s="9"/>
      <c r="C22" s="9"/>
      <c r="D22" s="9"/>
      <c r="E22" s="9"/>
      <c r="F22" s="9"/>
      <c r="G22" s="9"/>
      <c r="H22" s="9"/>
      <c r="I22" s="9"/>
      <c r="J22" s="9"/>
      <c r="K22" s="9"/>
      <c r="L22" s="9"/>
    </row>
    <row r="23" spans="1:12" x14ac:dyDescent="0.25">
      <c r="B23" s="8" t="s">
        <v>2</v>
      </c>
      <c r="C23" s="8" t="s">
        <v>2</v>
      </c>
      <c r="D23" s="8" t="s">
        <v>2</v>
      </c>
      <c r="E23" s="8" t="s">
        <v>2</v>
      </c>
      <c r="F23" s="8" t="s">
        <v>2</v>
      </c>
      <c r="G23" s="8" t="s">
        <v>2</v>
      </c>
      <c r="H23" s="8" t="s">
        <v>2</v>
      </c>
      <c r="I23" s="8" t="s">
        <v>2</v>
      </c>
      <c r="J23" s="8" t="s">
        <v>2</v>
      </c>
      <c r="K23" s="8" t="s">
        <v>2</v>
      </c>
      <c r="L23" s="8" t="s">
        <v>2</v>
      </c>
    </row>
    <row r="24" spans="1:12" x14ac:dyDescent="0.25">
      <c r="B24" s="9" t="s">
        <v>20</v>
      </c>
      <c r="C24" s="9" t="s">
        <v>20</v>
      </c>
      <c r="D24" s="9" t="s">
        <v>20</v>
      </c>
      <c r="E24" s="9" t="s">
        <v>20</v>
      </c>
      <c r="F24" s="9" t="s">
        <v>20</v>
      </c>
      <c r="G24" s="9" t="s">
        <v>20</v>
      </c>
      <c r="H24" s="9" t="s">
        <v>20</v>
      </c>
      <c r="I24" s="9" t="s">
        <v>20</v>
      </c>
      <c r="J24" s="9" t="s">
        <v>20</v>
      </c>
      <c r="K24" s="9" t="s">
        <v>20</v>
      </c>
      <c r="L24" s="9" t="s">
        <v>20</v>
      </c>
    </row>
    <row r="25" spans="1:12" x14ac:dyDescent="0.25">
      <c r="B25" s="9" t="s">
        <v>16</v>
      </c>
      <c r="C25" s="9" t="s">
        <v>16</v>
      </c>
      <c r="D25" s="9" t="s">
        <v>16</v>
      </c>
      <c r="E25" s="9" t="s">
        <v>16</v>
      </c>
      <c r="F25" s="9" t="s">
        <v>16</v>
      </c>
      <c r="G25" s="9" t="s">
        <v>16</v>
      </c>
      <c r="H25" s="9" t="s">
        <v>16</v>
      </c>
      <c r="I25" s="9" t="s">
        <v>16</v>
      </c>
      <c r="J25" s="9" t="s">
        <v>16</v>
      </c>
      <c r="K25" s="9" t="s">
        <v>16</v>
      </c>
      <c r="L25" s="9" t="s">
        <v>16</v>
      </c>
    </row>
    <row r="26" spans="1:12" x14ac:dyDescent="0.25">
      <c r="B26" s="9" t="s">
        <v>29</v>
      </c>
      <c r="C26" s="9" t="s">
        <v>29</v>
      </c>
      <c r="D26" s="9" t="s">
        <v>29</v>
      </c>
      <c r="E26" s="9" t="s">
        <v>29</v>
      </c>
      <c r="F26" s="9" t="s">
        <v>29</v>
      </c>
      <c r="G26" s="9" t="s">
        <v>29</v>
      </c>
      <c r="H26" s="9" t="s">
        <v>29</v>
      </c>
      <c r="I26" s="9" t="s">
        <v>29</v>
      </c>
      <c r="J26" s="9" t="s">
        <v>29</v>
      </c>
      <c r="K26" s="9" t="s">
        <v>29</v>
      </c>
      <c r="L26" s="9" t="s">
        <v>29</v>
      </c>
    </row>
    <row r="27" spans="1:12" x14ac:dyDescent="0.25">
      <c r="B27" s="9"/>
      <c r="C27" s="9"/>
      <c r="D27" s="9"/>
      <c r="E27" s="9"/>
      <c r="F27" s="9"/>
      <c r="G27" s="9"/>
      <c r="H27" s="9"/>
      <c r="I27" s="9"/>
      <c r="J27" s="9"/>
      <c r="K27" s="9"/>
      <c r="L27" s="9"/>
    </row>
    <row r="28" spans="1:12" x14ac:dyDescent="0.25">
      <c r="B28" s="9"/>
      <c r="C28" s="9"/>
      <c r="D28" s="9"/>
      <c r="E28" s="9"/>
      <c r="F28" s="9"/>
      <c r="G28" s="9"/>
      <c r="H28" s="9"/>
      <c r="I28" s="9"/>
      <c r="J28" s="9"/>
      <c r="K28" s="9"/>
      <c r="L28" s="9"/>
    </row>
    <row r="29" spans="1:12" x14ac:dyDescent="0.25">
      <c r="B29" s="9"/>
      <c r="C29" s="9"/>
      <c r="D29" s="9"/>
      <c r="E29" s="9"/>
      <c r="F29" s="9"/>
      <c r="G29" s="9"/>
      <c r="H29" s="9"/>
      <c r="I29" s="9"/>
      <c r="J29" s="9"/>
      <c r="K29" s="9"/>
      <c r="L29" s="9"/>
    </row>
    <row r="30" spans="1:12" x14ac:dyDescent="0.25">
      <c r="A30" s="10" t="str">
        <f>HLOOKUP(Language!$C$3,Language!$E$1:$Z571,16,FALSE)</f>
        <v>Customization / Regionalisation</v>
      </c>
      <c r="B30" s="15" t="str">
        <f>HLOOKUP(Language!$C$3,Language!$E$1:$Z500,17,FALSE)</f>
        <v>Default</v>
      </c>
      <c r="C30" s="15" t="str">
        <f>HLOOKUP(Language!$C$3,Language!$E$1:$Z500,17,FALSE)</f>
        <v>Default</v>
      </c>
      <c r="D30" s="15" t="str">
        <f>HLOOKUP(Language!$C$3,Language!$E$1:$Z500,17,FALSE)</f>
        <v>Default</v>
      </c>
      <c r="E30" s="15" t="str">
        <f>HLOOKUP(Language!$C$3,Language!$E$1:$Z500,17,FALSE)</f>
        <v>Default</v>
      </c>
      <c r="F30" s="15" t="str">
        <f>HLOOKUP(Language!$C$3,Language!$E$1:$Z500,17,FALSE)</f>
        <v>Default</v>
      </c>
      <c r="G30" s="15" t="str">
        <f>HLOOKUP(Language!$C$3,Language!$E$1:$Z500,64,FALSE)</f>
        <v>GE branding</v>
      </c>
      <c r="H30" s="15" t="str">
        <f>HLOOKUP(Language!$C$3,Language!$E$1:$Z500,64,FALSE)</f>
        <v>GE branding</v>
      </c>
      <c r="I30" s="15" t="str">
        <f>HLOOKUP(Language!$C$3,Language!$E$1:$Z500,64,FALSE)</f>
        <v>GE branding</v>
      </c>
      <c r="J30" s="15" t="str">
        <f>HLOOKUP(Language!$C$3,Language!$E$1:$Z500,64,FALSE)</f>
        <v>GE branding</v>
      </c>
      <c r="K30" s="15" t="str">
        <f>HLOOKUP(Language!$C$3,Language!$E$1:$Z500,64,FALSE)</f>
        <v>GE branding</v>
      </c>
      <c r="L30" s="15" t="str">
        <f>HLOOKUP(Language!$C$3,Language!$E$1:$Z500,64,FALSE)</f>
        <v>GE branding</v>
      </c>
    </row>
    <row r="31" spans="1:12" x14ac:dyDescent="0.25">
      <c r="A31" s="25"/>
      <c r="B31" s="18" t="str">
        <f>HLOOKUP(Language!$C$3,Language!$E$1:$Z500,18,FALSE)</f>
        <v>Reason branding</v>
      </c>
      <c r="C31" s="18" t="str">
        <f>HLOOKUP(Language!$C$3,Language!$E$1:$Z500,18,FALSE)</f>
        <v>Reason branding</v>
      </c>
      <c r="D31" s="18" t="str">
        <f>HLOOKUP(Language!$C$3,Language!$E$1:$Z500,18,FALSE)</f>
        <v>Reason branding</v>
      </c>
      <c r="E31" s="18" t="str">
        <f>HLOOKUP(Language!$C$3,Language!$E$1:$Z500,18,FALSE)</f>
        <v>Reason branding</v>
      </c>
      <c r="F31" s="18" t="str">
        <f>HLOOKUP(Language!$C$3,Language!$E$1:$Z500,18,FALSE)</f>
        <v>Reason branding</v>
      </c>
      <c r="G31" s="18"/>
      <c r="H31" s="18"/>
      <c r="I31" s="18"/>
      <c r="J31" s="18"/>
      <c r="K31" s="18"/>
      <c r="L31" s="18"/>
    </row>
    <row r="32" spans="1:12" x14ac:dyDescent="0.25">
      <c r="A32" s="25"/>
      <c r="B32" s="18" t="str">
        <f>HLOOKUP(Language!$C$3,Language!$E$1:$Z500,19,FALSE)</f>
        <v>Sample Customer specific</v>
      </c>
      <c r="C32" s="18" t="str">
        <f>HLOOKUP(Language!$C$3,Language!$E$1:$Z500,19,FALSE)</f>
        <v>Sample Customer specific</v>
      </c>
      <c r="D32" s="18" t="str">
        <f>HLOOKUP(Language!$C$3,Language!$E$1:$Z500,19,FALSE)</f>
        <v>Sample Customer specific</v>
      </c>
      <c r="E32" s="18"/>
      <c r="F32" s="18"/>
      <c r="G32" s="18"/>
      <c r="H32" s="18"/>
      <c r="I32" s="18"/>
      <c r="J32" s="18"/>
      <c r="K32" s="18"/>
      <c r="L32" s="18"/>
    </row>
    <row r="33" spans="1:12" x14ac:dyDescent="0.25">
      <c r="B33" s="9"/>
      <c r="C33" s="9"/>
      <c r="D33" s="9"/>
      <c r="E33" s="9"/>
      <c r="F33" s="9"/>
      <c r="G33" s="9"/>
      <c r="H33" s="9"/>
      <c r="I33" s="9"/>
      <c r="J33" s="9"/>
      <c r="K33" s="9"/>
      <c r="L33" s="9"/>
    </row>
    <row r="34" spans="1:12" x14ac:dyDescent="0.25">
      <c r="B34" s="14" t="s">
        <v>0</v>
      </c>
      <c r="C34" s="14" t="s">
        <v>0</v>
      </c>
      <c r="D34" s="14" t="s">
        <v>0</v>
      </c>
      <c r="E34" s="14" t="s">
        <v>0</v>
      </c>
      <c r="F34" s="14" t="s">
        <v>0</v>
      </c>
      <c r="G34" s="14" t="s">
        <v>2</v>
      </c>
      <c r="H34" s="14" t="s">
        <v>2</v>
      </c>
      <c r="I34" s="14" t="s">
        <v>2</v>
      </c>
      <c r="J34" s="14" t="s">
        <v>2</v>
      </c>
      <c r="K34" s="14" t="s">
        <v>2</v>
      </c>
      <c r="L34" s="14" t="s">
        <v>2</v>
      </c>
    </row>
    <row r="35" spans="1:12" x14ac:dyDescent="0.25">
      <c r="B35" s="9" t="s">
        <v>1</v>
      </c>
      <c r="C35" s="9" t="s">
        <v>1</v>
      </c>
      <c r="D35" s="9" t="s">
        <v>1</v>
      </c>
      <c r="E35" s="9" t="s">
        <v>1</v>
      </c>
      <c r="F35" s="9" t="s">
        <v>1</v>
      </c>
      <c r="G35" s="9"/>
      <c r="H35" s="9"/>
      <c r="I35" s="9"/>
      <c r="J35" s="9"/>
      <c r="K35" s="9"/>
      <c r="L35" s="9"/>
    </row>
    <row r="36" spans="1:12" x14ac:dyDescent="0.25">
      <c r="B36" s="9" t="s">
        <v>2</v>
      </c>
      <c r="C36" s="9" t="s">
        <v>2</v>
      </c>
      <c r="D36" s="9" t="s">
        <v>2</v>
      </c>
      <c r="E36" s="9"/>
      <c r="F36" s="9"/>
      <c r="G36" s="9"/>
      <c r="H36" s="9"/>
      <c r="I36" s="9"/>
      <c r="J36" s="9"/>
      <c r="K36" s="9"/>
      <c r="L36" s="9"/>
    </row>
    <row r="37" spans="1:12" x14ac:dyDescent="0.25">
      <c r="B37" s="9"/>
      <c r="C37" s="9"/>
      <c r="D37" s="9"/>
      <c r="E37" s="9"/>
      <c r="F37" s="9"/>
      <c r="G37" s="9"/>
      <c r="H37" s="9"/>
      <c r="I37" s="9"/>
      <c r="J37" s="9"/>
      <c r="K37" s="9"/>
      <c r="L37" s="9"/>
    </row>
    <row r="38" spans="1:12" x14ac:dyDescent="0.25">
      <c r="A38" s="10" t="str">
        <f>HLOOKUP(Language!$C$3,Language!$E$1:$Z571,20,FALSE)</f>
        <v>Firmware Version</v>
      </c>
      <c r="B38" s="17" t="str">
        <f>HLOOKUP(Language!$C$3,Language!$E$1:$Z566,21,FALSE)</f>
        <v>Latest available firmware</v>
      </c>
      <c r="C38" s="17" t="str">
        <f>HLOOKUP(Language!$C$3,Language!$E$1:$Z566,21,FALSE)</f>
        <v>Latest available firmware</v>
      </c>
      <c r="D38" s="17" t="str">
        <f>HLOOKUP(Language!$C$3,Language!$E$1:$Z566,21,FALSE)</f>
        <v>Latest available firmware</v>
      </c>
      <c r="E38" s="17" t="str">
        <f>HLOOKUP(Language!$C$3,Language!$E$1:$Z566,60,FALSE)</f>
        <v>Firmware release number</v>
      </c>
      <c r="F38" s="17" t="str">
        <f>CONCATENATE(HLOOKUP(Language!$C$3,Language!$E$1:$Z566,21,FALSE)," - 07")</f>
        <v>Latest available firmware - 07</v>
      </c>
      <c r="G38" s="17" t="str">
        <f>CONCATENATE(HLOOKUP(Language!$C$3,Language!$E$1:$Z566,21,FALSE)," - 07")</f>
        <v>Latest available firmware - 07</v>
      </c>
      <c r="H38" s="17" t="str">
        <f>CONCATENATE(HLOOKUP(Language!$C$3,Language!$E$1:$Z566,21,FALSE)," - 07")</f>
        <v>Latest available firmware - 07</v>
      </c>
      <c r="I38" s="17" t="str">
        <f>CONCATENATE(HLOOKUP(Language!$C$3,Language!$E$1:$Z566,21,FALSE)," - 08")</f>
        <v>Latest available firmware - 08</v>
      </c>
      <c r="J38" s="17" t="str">
        <f>CONCATENATE(HLOOKUP(Language!$C$3,Language!$E$1:$Z566,21,FALSE)," - 08")</f>
        <v>Latest available firmware - 08</v>
      </c>
      <c r="K38" s="17" t="str">
        <f>CONCATENATE(HLOOKUP(Language!$C$3,Language!$E$1:$Z566,21,FALSE)," - 08")</f>
        <v>Latest available firmware - 08</v>
      </c>
      <c r="L38" s="17" t="str">
        <f>CONCATENATE(HLOOKUP(Language!$C$3,Language!$E$1:$Z566,21,FALSE)," - 08")</f>
        <v>Latest available firmware - 08</v>
      </c>
    </row>
    <row r="39" spans="1:12" x14ac:dyDescent="0.25">
      <c r="A39" s="25"/>
      <c r="B39" s="18" t="str">
        <f>HLOOKUP(Language!$C$3,Language!$E$1:$Z567,51,FALSE)</f>
        <v>Legacy firmware</v>
      </c>
      <c r="C39" s="18" t="str">
        <f>HLOOKUP(Language!$C$3,Language!$E$1:$Z567,51,FALSE)</f>
        <v>Legacy firmware</v>
      </c>
      <c r="D39" s="18" t="str">
        <f>HLOOKUP(Language!$C$3,Language!$E$1:$Z567,51,FALSE)</f>
        <v>Legacy firmware</v>
      </c>
      <c r="E39" s="18"/>
      <c r="F39" s="18" t="str">
        <f>CONCATENATE(HLOOKUP(Language!$C$3,Language!$E$1:$Z567,60,FALSE)," - 06")</f>
        <v>Firmware release number - 06</v>
      </c>
      <c r="G39" s="18"/>
      <c r="H39" s="18"/>
      <c r="I39" s="18" t="str">
        <f>CONCATENATE(HLOOKUP(Language!$C$3,Language!$E$1:$Z567,73,FALSE)," - 07")</f>
        <v>Firmware version number - 07</v>
      </c>
      <c r="J39" s="18" t="str">
        <f>CONCATENATE(HLOOKUP(Language!$C$3,Language!$E$1:$Z567,73,FALSE)," - 07")</f>
        <v>Firmware version number - 07</v>
      </c>
      <c r="K39" s="18" t="str">
        <f>CONCATENATE(HLOOKUP(Language!$C$3,Language!$E$1:$Z567,73,FALSE)," - 07 ",HLOOKUP(Language!$C$3,Language!$E$1:$Z528,78,FALSE))</f>
        <v>Firmware version number - 07 (withdraw)</v>
      </c>
      <c r="L39" s="18" t="str">
        <f>CONCATENATE(HLOOKUP(Language!$C$3,Language!$E$1:$Z567,73,FALSE)," - 07 ",HLOOKUP(Language!$C$3,Language!$E$1:$Z528,78,FALSE))</f>
        <v>Firmware version number - 07 (withdraw)</v>
      </c>
    </row>
    <row r="40" spans="1:12" x14ac:dyDescent="0.25">
      <c r="A40" s="25"/>
      <c r="B40" s="18"/>
      <c r="C40" s="18"/>
      <c r="D40" s="18"/>
      <c r="E40" s="18"/>
      <c r="F40" s="18"/>
      <c r="G40" s="18"/>
      <c r="H40" s="18"/>
      <c r="I40" s="18"/>
      <c r="J40" s="18"/>
      <c r="K40" s="18"/>
      <c r="L40" s="18"/>
    </row>
    <row r="41" spans="1:12" x14ac:dyDescent="0.25">
      <c r="A41" s="25"/>
      <c r="B41" s="18"/>
      <c r="C41" s="18"/>
      <c r="D41" s="18"/>
      <c r="E41" s="18"/>
      <c r="F41" s="18"/>
      <c r="G41" s="18"/>
      <c r="H41" s="18"/>
      <c r="I41" s="18"/>
      <c r="J41" s="18"/>
      <c r="K41" s="18"/>
      <c r="L41" s="18"/>
    </row>
    <row r="42" spans="1:12" x14ac:dyDescent="0.25">
      <c r="A42" s="25"/>
      <c r="B42" s="18"/>
      <c r="C42" s="18"/>
      <c r="D42" s="18"/>
      <c r="E42" s="18"/>
      <c r="F42" s="18"/>
      <c r="G42" s="18"/>
      <c r="H42" s="18"/>
      <c r="I42" s="18"/>
      <c r="J42" s="18"/>
      <c r="K42" s="18"/>
      <c r="L42" s="18"/>
    </row>
    <row r="43" spans="1:12" x14ac:dyDescent="0.25">
      <c r="A43" s="25"/>
      <c r="B43" s="18"/>
      <c r="C43" s="18"/>
      <c r="D43" s="18"/>
      <c r="E43" s="18"/>
      <c r="F43" s="18"/>
      <c r="G43" s="18"/>
      <c r="H43" s="18"/>
      <c r="I43" s="18"/>
      <c r="J43" s="18"/>
      <c r="K43" s="18"/>
      <c r="L43" s="18"/>
    </row>
    <row r="44" spans="1:12" x14ac:dyDescent="0.25">
      <c r="B44" s="110" t="s">
        <v>23</v>
      </c>
      <c r="C44" s="110" t="s">
        <v>148</v>
      </c>
      <c r="D44" s="110" t="s">
        <v>148</v>
      </c>
      <c r="E44" s="110" t="s">
        <v>148</v>
      </c>
      <c r="F44" s="110" t="s">
        <v>191</v>
      </c>
      <c r="G44" s="110" t="s">
        <v>191</v>
      </c>
      <c r="H44" s="110" t="s">
        <v>191</v>
      </c>
      <c r="I44" s="110" t="s">
        <v>221</v>
      </c>
      <c r="J44" s="110" t="s">
        <v>221</v>
      </c>
      <c r="K44" s="110" t="s">
        <v>221</v>
      </c>
      <c r="L44" s="110" t="s">
        <v>221</v>
      </c>
    </row>
    <row r="45" spans="1:12" x14ac:dyDescent="0.25">
      <c r="B45" s="208"/>
      <c r="C45" s="208" t="s">
        <v>23</v>
      </c>
      <c r="D45" s="208" t="s">
        <v>23</v>
      </c>
      <c r="E45" s="208"/>
      <c r="F45" s="208" t="s">
        <v>148</v>
      </c>
      <c r="G45" s="208"/>
      <c r="H45" s="208"/>
      <c r="I45" s="208" t="s">
        <v>191</v>
      </c>
      <c r="J45" s="208" t="s">
        <v>191</v>
      </c>
      <c r="K45" s="208" t="s">
        <v>191</v>
      </c>
      <c r="L45" s="208" t="s">
        <v>191</v>
      </c>
    </row>
    <row r="46" spans="1:12" x14ac:dyDescent="0.25">
      <c r="B46" s="47"/>
      <c r="C46" s="47"/>
      <c r="D46" s="47"/>
      <c r="E46" s="47"/>
      <c r="F46" s="47"/>
      <c r="G46" s="47"/>
      <c r="H46" s="47"/>
      <c r="I46" s="47"/>
      <c r="J46" s="47"/>
      <c r="K46" s="47"/>
      <c r="L46" s="47"/>
    </row>
    <row r="47" spans="1:12" x14ac:dyDescent="0.25">
      <c r="B47" s="47"/>
      <c r="C47" s="47"/>
      <c r="D47" s="47"/>
      <c r="E47" s="47"/>
      <c r="F47" s="47"/>
      <c r="G47" s="47"/>
      <c r="H47" s="47"/>
      <c r="I47" s="47"/>
      <c r="J47" s="47"/>
      <c r="K47" s="47"/>
      <c r="L47" s="47"/>
    </row>
    <row r="48" spans="1:12" x14ac:dyDescent="0.25">
      <c r="B48" s="47"/>
      <c r="C48" s="47"/>
      <c r="D48" s="47"/>
      <c r="E48" s="47"/>
      <c r="F48" s="47"/>
      <c r="G48" s="47"/>
      <c r="H48" s="47"/>
      <c r="I48" s="47"/>
      <c r="J48" s="47"/>
      <c r="K48" s="47"/>
      <c r="L48" s="47"/>
    </row>
    <row r="49" spans="1:12" x14ac:dyDescent="0.25">
      <c r="B49" s="111"/>
      <c r="C49" s="111"/>
      <c r="D49" s="111"/>
      <c r="E49" s="111"/>
      <c r="F49" s="111"/>
      <c r="G49" s="111"/>
      <c r="H49" s="111"/>
      <c r="I49" s="111"/>
      <c r="J49" s="111"/>
      <c r="K49" s="111"/>
      <c r="L49" s="111"/>
    </row>
    <row r="50" spans="1:12" x14ac:dyDescent="0.25">
      <c r="A50" s="10" t="str">
        <f>HLOOKUP(Language!$C$3,Language!$E$1:$Z571,22,FALSE)</f>
        <v>Hardware Design Suffix</v>
      </c>
      <c r="B50" s="17" t="str">
        <f>HLOOKUP(Language!$C$3,Language!$E$1:$Z566,23,FALSE)</f>
        <v>Initial version</v>
      </c>
      <c r="C50" s="17" t="str">
        <f>HLOOKUP(Language!$C$3,Language!$E$1:$Z566,23,FALSE)</f>
        <v>Initial version</v>
      </c>
      <c r="D50" s="17" t="str">
        <f>HLOOKUP(Language!$C$3,Language!$E$1:$Z566,23,FALSE)</f>
        <v>Initial version</v>
      </c>
      <c r="E50" s="17" t="str">
        <f>HLOOKUP(Language!$C$3,Language!$E$1:$Z566,61,FALSE)</f>
        <v>Hardware release version</v>
      </c>
      <c r="F50" s="17" t="str">
        <f>HLOOKUP(Language!$C$3,Language!$E$1:$Z566,61,FALSE)</f>
        <v>Hardware release version</v>
      </c>
      <c r="G50" s="17" t="str">
        <f>HLOOKUP(Language!$C$3,Language!$E$1:$Z566,61,FALSE)</f>
        <v>Hardware release version</v>
      </c>
      <c r="H50" s="17" t="str">
        <f>HLOOKUP(Language!$C$3,Language!$E$1:$Z566,61,FALSE)</f>
        <v>Hardware release version</v>
      </c>
      <c r="I50" s="17" t="str">
        <f>HLOOKUP(Language!$C$3,Language!$E$1:$Z566,61,FALSE)</f>
        <v>Hardware release version</v>
      </c>
      <c r="J50" s="17" t="str">
        <f>HLOOKUP(Language!$C$3,Language!$E$1:$Z566,61,FALSE)</f>
        <v>Hardware release version</v>
      </c>
      <c r="K50" s="17" t="str">
        <f>HLOOKUP(Language!$C$3,Language!$E$1:$Z566,61,FALSE)</f>
        <v>Hardware release version</v>
      </c>
      <c r="L50" s="17" t="str">
        <f>HLOOKUP(Language!$C$3,Language!$E$1:$Z566,61,FALSE)</f>
        <v>Hardware release version</v>
      </c>
    </row>
    <row r="51" spans="1:12" x14ac:dyDescent="0.25">
      <c r="A51" s="25"/>
      <c r="B51" s="18"/>
      <c r="C51" s="18"/>
      <c r="D51" s="18"/>
      <c r="E51" s="18"/>
      <c r="F51" s="18"/>
      <c r="G51" s="18"/>
      <c r="H51" s="18"/>
      <c r="I51" s="18"/>
      <c r="J51" s="18"/>
      <c r="K51" s="18"/>
      <c r="L51" s="18"/>
    </row>
    <row r="52" spans="1:12" x14ac:dyDescent="0.25">
      <c r="A52" s="25"/>
      <c r="B52" s="18"/>
      <c r="C52" s="18"/>
      <c r="D52" s="18"/>
      <c r="E52" s="18"/>
      <c r="F52" s="18"/>
      <c r="G52" s="18"/>
      <c r="H52" s="18"/>
      <c r="I52" s="18"/>
      <c r="J52" s="18"/>
      <c r="K52" s="18"/>
      <c r="L52" s="18"/>
    </row>
    <row r="53" spans="1:12" x14ac:dyDescent="0.25">
      <c r="A53" s="25"/>
      <c r="B53" s="18"/>
      <c r="C53" s="18"/>
      <c r="D53" s="18"/>
      <c r="E53" s="18"/>
      <c r="F53" s="18"/>
      <c r="G53" s="18"/>
      <c r="H53" s="18"/>
      <c r="I53" s="18"/>
      <c r="J53" s="18"/>
      <c r="K53" s="18"/>
      <c r="L53" s="18"/>
    </row>
    <row r="54" spans="1:12" x14ac:dyDescent="0.25">
      <c r="A54" s="25"/>
      <c r="B54" s="18"/>
      <c r="C54" s="18"/>
      <c r="D54" s="18"/>
      <c r="E54" s="18"/>
      <c r="F54" s="18"/>
      <c r="G54" s="18"/>
      <c r="H54" s="18"/>
      <c r="I54" s="18"/>
      <c r="J54" s="18"/>
      <c r="K54" s="18"/>
      <c r="L54" s="18"/>
    </row>
    <row r="55" spans="1:12" x14ac:dyDescent="0.25">
      <c r="A55" s="25"/>
      <c r="B55" s="18"/>
      <c r="C55" s="18"/>
      <c r="D55" s="18"/>
      <c r="E55" s="18"/>
      <c r="F55" s="18"/>
      <c r="G55" s="18"/>
      <c r="H55" s="18"/>
      <c r="I55" s="18"/>
      <c r="J55" s="18"/>
      <c r="K55" s="18"/>
      <c r="L55" s="18"/>
    </row>
    <row r="56" spans="1:12" x14ac:dyDescent="0.25">
      <c r="B56" s="110" t="s">
        <v>0</v>
      </c>
      <c r="C56" s="110" t="s">
        <v>0</v>
      </c>
      <c r="D56" s="110" t="s">
        <v>0</v>
      </c>
      <c r="E56" s="110" t="s">
        <v>1</v>
      </c>
      <c r="F56" s="110" t="s">
        <v>1</v>
      </c>
      <c r="G56" s="110" t="s">
        <v>1</v>
      </c>
      <c r="H56" s="110" t="s">
        <v>1</v>
      </c>
      <c r="I56" s="110" t="s">
        <v>1</v>
      </c>
      <c r="J56" s="110" t="s">
        <v>1</v>
      </c>
      <c r="K56" s="110" t="s">
        <v>1</v>
      </c>
      <c r="L56" s="110" t="s">
        <v>1</v>
      </c>
    </row>
    <row r="57" spans="1:12" x14ac:dyDescent="0.25">
      <c r="B57" s="47"/>
      <c r="C57" s="47"/>
      <c r="D57" s="47"/>
      <c r="E57" s="47"/>
      <c r="F57" s="47"/>
      <c r="G57" s="47"/>
      <c r="H57" s="47"/>
      <c r="I57" s="47"/>
      <c r="J57" s="47"/>
      <c r="K57" s="47"/>
      <c r="L57" s="47"/>
    </row>
    <row r="58" spans="1:12" x14ac:dyDescent="0.25">
      <c r="B58" s="47"/>
      <c r="C58" s="47"/>
      <c r="D58" s="47"/>
      <c r="E58" s="47"/>
      <c r="F58" s="47"/>
      <c r="G58" s="47"/>
      <c r="H58" s="47"/>
      <c r="I58" s="47"/>
      <c r="J58" s="47"/>
      <c r="K58" s="47"/>
      <c r="L58" s="47"/>
    </row>
    <row r="59" spans="1:12" x14ac:dyDescent="0.25">
      <c r="B59" s="47"/>
      <c r="C59" s="47"/>
      <c r="D59" s="47"/>
      <c r="E59" s="47"/>
      <c r="F59" s="47"/>
      <c r="G59" s="47"/>
      <c r="H59" s="47"/>
      <c r="I59" s="47"/>
      <c r="J59" s="47"/>
      <c r="K59" s="47"/>
      <c r="L59" s="47"/>
    </row>
    <row r="60" spans="1:12" x14ac:dyDescent="0.25">
      <c r="B60" s="47"/>
      <c r="C60" s="47"/>
      <c r="D60" s="47"/>
      <c r="E60" s="47"/>
      <c r="F60" s="47"/>
      <c r="G60" s="47"/>
      <c r="H60" s="47"/>
      <c r="I60" s="47"/>
      <c r="J60" s="47"/>
      <c r="K60" s="47"/>
      <c r="L60" s="47"/>
    </row>
    <row r="61" spans="1:12" x14ac:dyDescent="0.25">
      <c r="B61" s="111"/>
      <c r="C61" s="111"/>
      <c r="D61" s="111"/>
      <c r="E61" s="111"/>
      <c r="F61" s="111"/>
      <c r="G61" s="111"/>
      <c r="H61" s="111"/>
      <c r="I61" s="111"/>
      <c r="J61" s="111"/>
      <c r="K61" s="111"/>
      <c r="L61" s="111"/>
    </row>
    <row r="62" spans="1:12" ht="13" x14ac:dyDescent="0.3">
      <c r="A62" s="142" t="str">
        <f>HLOOKUP(Language!$C$3,Language!$E$1:$Z571,24,FALSE)</f>
        <v>GPS Antenna</v>
      </c>
      <c r="B62" s="143" t="str">
        <f>HLOOKUP(Language!$C$3,Language!$E$1:$Z500,25,FALSE)</f>
        <v>Without antenna</v>
      </c>
      <c r="C62" s="143" t="str">
        <f>HLOOKUP(Language!$C$3,Language!$E$1:$Z500,25,FALSE)</f>
        <v>Without antenna</v>
      </c>
      <c r="D62" s="143" t="str">
        <f>HLOOKUP(Language!$C$3,Language!$E$1:$Z500,25,FALSE)</f>
        <v>Without antenna</v>
      </c>
      <c r="E62" s="143" t="str">
        <f>HLOOKUP(Language!$C$3,Language!$E$1:$Z500,25,FALSE)</f>
        <v>Without antenna</v>
      </c>
      <c r="F62" s="143" t="str">
        <f>HLOOKUP(Language!$C$3,Language!$E$1:$Z500,25,FALSE)</f>
        <v>Without antenna</v>
      </c>
      <c r="G62" s="143" t="str">
        <f>HLOOKUP(Language!$C$3,Language!$E$1:$Z500,25,FALSE)</f>
        <v>Without antenna</v>
      </c>
      <c r="H62" s="143" t="str">
        <f>HLOOKUP(Language!$C$3,Language!$E$1:$Z500,25,FALSE)</f>
        <v>Without antenna</v>
      </c>
      <c r="I62" s="143" t="str">
        <f>HLOOKUP(Language!$C$3,Language!$E$1:$Z500,25,FALSE)</f>
        <v>Without antenna</v>
      </c>
      <c r="J62" s="143" t="str">
        <f>HLOOKUP(Language!$C$3,Language!$E$1:$Z500,25,FALSE)</f>
        <v>Without antenna</v>
      </c>
      <c r="K62" s="143" t="str">
        <f>HLOOKUP(Language!$C$3,Language!$E$1:$Z500,25,FALSE)</f>
        <v>Without antenna</v>
      </c>
      <c r="L62" s="143" t="str">
        <f>HLOOKUP(Language!$C$3,Language!$E$1:$Z500,25,FALSE)</f>
        <v>Without antenna</v>
      </c>
    </row>
    <row r="63" spans="1:12" ht="12.5" x14ac:dyDescent="0.25">
      <c r="A63" s="25"/>
      <c r="B63" s="132" t="str">
        <f>HLOOKUP(Language!$C$3,Language!$E$1:$Z500,26,FALSE)</f>
        <v>3.3V TNC Female active GPS antenna</v>
      </c>
      <c r="C63" s="132" t="str">
        <f>HLOOKUP(Language!$C$3,Language!$E$1:$Z500,26,FALSE)</f>
        <v>3.3V TNC Female active GPS antenna</v>
      </c>
      <c r="D63" s="132" t="str">
        <f>HLOOKUP(Language!$C$3,Language!$E$1:$Z500,53,FALSE)</f>
        <v>3.3V TNC Female active GNSS antenna</v>
      </c>
      <c r="E63" s="132" t="str">
        <f>HLOOKUP(Language!$C$3,Language!$E$1:$Z500,53,FALSE)</f>
        <v>3.3V TNC Female active GNSS antenna</v>
      </c>
      <c r="F63" s="132" t="str">
        <f>HLOOKUP(Language!$C$3,Language!$E$1:$Z500,53,FALSE)</f>
        <v>3.3V TNC Female active GNSS antenna</v>
      </c>
      <c r="G63" s="132" t="str">
        <f>HLOOKUP(Language!$C$3,Language!$E$1:$Z500,53,FALSE)</f>
        <v>3.3V TNC Female active GNSS antenna</v>
      </c>
      <c r="H63" s="132" t="str">
        <f>HLOOKUP(Language!$C$3,Language!$E$1:$Z500,53,FALSE)</f>
        <v>3.3V TNC Female active GNSS antenna</v>
      </c>
      <c r="I63" s="132" t="str">
        <f>HLOOKUP(Language!$C$3,Language!$E$1:$Z500,53,FALSE)</f>
        <v>3.3V TNC Female active GNSS antenna</v>
      </c>
      <c r="J63" s="132" t="str">
        <f>HLOOKUP(Language!$C$3,Language!$E$1:$Z500,53,FALSE)</f>
        <v>3.3V TNC Female active GNSS antenna</v>
      </c>
      <c r="K63" s="132" t="str">
        <f>HLOOKUP(Language!$C$3,Language!$E$1:$Z500,53,FALSE)</f>
        <v>3.3V TNC Female active GNSS antenna</v>
      </c>
      <c r="L63" s="132" t="str">
        <f>HLOOKUP(Language!$C$3,Language!$E$1:$Z500,53,FALSE)</f>
        <v>3.3V TNC Female active GNSS antenna</v>
      </c>
    </row>
    <row r="64" spans="1:12" x14ac:dyDescent="0.25">
      <c r="A64" s="25"/>
      <c r="B64" s="144"/>
      <c r="C64" s="144"/>
      <c r="D64" s="144"/>
      <c r="E64" s="144"/>
      <c r="F64" s="144"/>
      <c r="G64" s="144"/>
      <c r="H64" s="144"/>
      <c r="I64" s="144"/>
      <c r="J64" s="144"/>
      <c r="K64" s="144"/>
      <c r="L64" s="144"/>
    </row>
    <row r="65" spans="1:12" x14ac:dyDescent="0.25">
      <c r="A65" s="25"/>
      <c r="B65" s="18"/>
      <c r="C65" s="18"/>
      <c r="D65" s="18"/>
      <c r="E65" s="18"/>
      <c r="F65" s="18"/>
      <c r="G65" s="18"/>
      <c r="H65" s="18"/>
      <c r="I65" s="18"/>
      <c r="J65" s="18"/>
      <c r="K65" s="18"/>
      <c r="L65" s="18"/>
    </row>
    <row r="66" spans="1:12" x14ac:dyDescent="0.25">
      <c r="A66" s="25"/>
      <c r="B66" s="18"/>
      <c r="C66" s="18"/>
      <c r="D66" s="18"/>
      <c r="E66" s="18"/>
      <c r="F66" s="18"/>
      <c r="G66" s="18"/>
      <c r="H66" s="18"/>
      <c r="I66" s="18"/>
      <c r="J66" s="18"/>
      <c r="K66" s="18"/>
      <c r="L66" s="18"/>
    </row>
    <row r="67" spans="1:12" x14ac:dyDescent="0.25">
      <c r="A67" s="25"/>
      <c r="B67" s="18"/>
      <c r="C67" s="18"/>
      <c r="D67" s="18"/>
      <c r="E67" s="18"/>
      <c r="F67" s="18"/>
      <c r="G67" s="18"/>
      <c r="H67" s="18"/>
      <c r="I67" s="18"/>
      <c r="J67" s="18"/>
      <c r="K67" s="18"/>
      <c r="L67" s="18"/>
    </row>
    <row r="68" spans="1:12" x14ac:dyDescent="0.25">
      <c r="B68" s="110">
        <v>0</v>
      </c>
      <c r="C68" s="110">
        <v>0</v>
      </c>
      <c r="D68" s="110">
        <v>0</v>
      </c>
      <c r="E68" s="110">
        <v>0</v>
      </c>
      <c r="F68" s="110">
        <v>0</v>
      </c>
      <c r="G68" s="110">
        <v>0</v>
      </c>
      <c r="H68" s="110">
        <v>0</v>
      </c>
      <c r="I68" s="110">
        <v>0</v>
      </c>
      <c r="J68" s="110">
        <v>0</v>
      </c>
      <c r="K68" s="110">
        <v>0</v>
      </c>
      <c r="L68" s="110">
        <v>0</v>
      </c>
    </row>
    <row r="69" spans="1:12" x14ac:dyDescent="0.25">
      <c r="B69" s="47">
        <v>1</v>
      </c>
      <c r="C69" s="47">
        <v>1</v>
      </c>
      <c r="D69" s="47">
        <v>2</v>
      </c>
      <c r="E69" s="47">
        <v>2</v>
      </c>
      <c r="F69" s="47">
        <v>2</v>
      </c>
      <c r="G69" s="47">
        <v>2</v>
      </c>
      <c r="H69" s="47">
        <v>2</v>
      </c>
      <c r="I69" s="47">
        <v>2</v>
      </c>
      <c r="J69" s="47">
        <v>2</v>
      </c>
      <c r="K69" s="47">
        <v>2</v>
      </c>
      <c r="L69" s="47">
        <v>2</v>
      </c>
    </row>
    <row r="70" spans="1:12" x14ac:dyDescent="0.25">
      <c r="B70" s="47"/>
      <c r="C70" s="47"/>
      <c r="D70" s="47"/>
      <c r="E70" s="47"/>
      <c r="F70" s="47"/>
      <c r="G70" s="47"/>
      <c r="H70" s="47"/>
      <c r="I70" s="47"/>
      <c r="J70" s="47"/>
      <c r="K70" s="47"/>
      <c r="L70" s="47"/>
    </row>
    <row r="71" spans="1:12" x14ac:dyDescent="0.25">
      <c r="B71" s="47"/>
      <c r="C71" s="47"/>
      <c r="D71" s="47"/>
      <c r="E71" s="47"/>
      <c r="F71" s="47"/>
      <c r="G71" s="47"/>
      <c r="H71" s="47"/>
      <c r="I71" s="47"/>
      <c r="J71" s="47"/>
      <c r="K71" s="47"/>
      <c r="L71" s="47"/>
    </row>
    <row r="72" spans="1:12" x14ac:dyDescent="0.25">
      <c r="B72" s="47"/>
      <c r="C72" s="47"/>
      <c r="D72" s="47"/>
      <c r="E72" s="47"/>
      <c r="F72" s="47"/>
      <c r="G72" s="47"/>
      <c r="H72" s="47"/>
      <c r="I72" s="47"/>
      <c r="J72" s="47"/>
      <c r="K72" s="47"/>
      <c r="L72" s="47"/>
    </row>
    <row r="73" spans="1:12" x14ac:dyDescent="0.25">
      <c r="B73" s="111"/>
      <c r="C73" s="111"/>
      <c r="D73" s="111"/>
      <c r="E73" s="111"/>
      <c r="F73" s="111"/>
      <c r="G73" s="111"/>
      <c r="H73" s="111"/>
      <c r="I73" s="111"/>
      <c r="J73" s="111"/>
      <c r="K73" s="111"/>
      <c r="L73" s="111"/>
    </row>
    <row r="74" spans="1:12" ht="13" x14ac:dyDescent="0.3">
      <c r="A74" s="145" t="str">
        <f>HLOOKUP(Language!$C$3,Language!$E$1:$Z571,27,FALSE)</f>
        <v>Antenna Cable</v>
      </c>
      <c r="B74" s="143" t="str">
        <f>HLOOKUP(Language!$C$3,Language!$E$1:$Z500,28,FALSE)</f>
        <v>No cable</v>
      </c>
      <c r="C74" s="143" t="str">
        <f>HLOOKUP(Language!$C$3,Language!$E$1:$Z500,28,FALSE)</f>
        <v>No cable</v>
      </c>
      <c r="D74" s="143" t="str">
        <f>HLOOKUP(Language!$C$3,Language!$E$1:$Z500,28,FALSE)</f>
        <v>No cable</v>
      </c>
      <c r="E74" s="143" t="str">
        <f>HLOOKUP(Language!$C$3,Language!$E$1:$Z500,28,FALSE)</f>
        <v>No cable</v>
      </c>
      <c r="F74" s="143" t="str">
        <f>HLOOKUP(Language!$C$3,Language!$E$1:$Z500,28,FALSE)</f>
        <v>No cable</v>
      </c>
      <c r="G74" s="143" t="str">
        <f>HLOOKUP(Language!$C$3,Language!$E$1:$Z500,28,FALSE)</f>
        <v>No cable</v>
      </c>
      <c r="H74" s="143" t="str">
        <f>HLOOKUP(Language!$C$3,Language!$E$1:$Z500,28,FALSE)</f>
        <v>No cable</v>
      </c>
      <c r="I74" s="143" t="str">
        <f>HLOOKUP(Language!$C$3,Language!$E$1:$Z500,28,FALSE)</f>
        <v>No cable</v>
      </c>
      <c r="J74" s="143" t="str">
        <f>HLOOKUP(Language!$C$3,Language!$E$1:$Z500,28,FALSE)</f>
        <v>No cable</v>
      </c>
      <c r="K74" s="143" t="str">
        <f>HLOOKUP(Language!$C$3,Language!$E$1:$Z500,28,FALSE)</f>
        <v>No cable</v>
      </c>
      <c r="L74" s="143" t="str">
        <f>HLOOKUP(Language!$C$3,Language!$E$1:$Z500,28,FALSE)</f>
        <v>No cable</v>
      </c>
    </row>
    <row r="75" spans="1:12" ht="12.5" x14ac:dyDescent="0.25">
      <c r="A75" s="25"/>
      <c r="B75" s="132" t="str">
        <f>HLOOKUP(Language!$C$3,Language!$E$1:$Z500,29,FALSE)</f>
        <v>15 m (50 ft) TNC Male to BNC Male RGC-58 antenna cable</v>
      </c>
      <c r="C75" s="132" t="str">
        <f>HLOOKUP(Language!$C$3,Language!$E$1:$Z500,29,FALSE)</f>
        <v>15 m (50 ft) TNC Male to BNC Male RGC-58 antenna cable</v>
      </c>
      <c r="D75" s="132" t="str">
        <f>HLOOKUP(Language!$C$3,Language!$E$1:$Z500,54,FALSE)</f>
        <v>15 m (50 ft) TNC Male to BNC Male (Attennuation &lt; 0,05 dB/m @ 1500 MHZ)</v>
      </c>
      <c r="E75" s="132" t="str">
        <f>HLOOKUP(Language!$C$3,Language!$E$1:$Z500,54,FALSE)</f>
        <v>15 m (50 ft) TNC Male to BNC Male (Attennuation &lt; 0,05 dB/m @ 1500 MHZ)</v>
      </c>
      <c r="F75" s="132" t="str">
        <f>HLOOKUP(Language!$C$3,Language!$E$1:$Z500,54,FALSE)</f>
        <v>15 m (50 ft) TNC Male to BNC Male (Attennuation &lt; 0,05 dB/m @ 1500 MHZ)</v>
      </c>
      <c r="G75" s="132" t="str">
        <f>HLOOKUP(Language!$C$3,Language!$E$1:$Z500,54,FALSE)</f>
        <v>15 m (50 ft) TNC Male to BNC Male (Attennuation &lt; 0,05 dB/m @ 1500 MHZ)</v>
      </c>
      <c r="H75" s="132" t="str">
        <f>HLOOKUP(Language!$C$3,Language!$E$1:$Z500,66,FALSE)</f>
        <v>15 m (50 ft) TNC Male to BNC Male (Attennuation &lt; 0.5 dB/m @ 1500 MHZ)</v>
      </c>
      <c r="I75" s="132" t="str">
        <f>HLOOKUP(Language!$C$3,Language!$E$1:$Z500,66,FALSE)</f>
        <v>15 m (50 ft) TNC Male to BNC Male (Attennuation &lt; 0.5 dB/m @ 1500 MHZ)</v>
      </c>
      <c r="J75" s="132" t="str">
        <f>HLOOKUP(Language!$C$3,Language!$E$1:$Z500,66,FALSE)</f>
        <v>15 m (50 ft) TNC Male to BNC Male (Attennuation &lt; 0.5 dB/m @ 1500 MHZ)</v>
      </c>
      <c r="K75" s="132" t="str">
        <f>HLOOKUP(Language!$C$3,Language!$E$1:$Z500,66,FALSE)</f>
        <v>15 m (50 ft) TNC Male to BNC Male (Attennuation &lt; 0.5 dB/m @ 1500 MHZ)</v>
      </c>
      <c r="L75" s="132" t="str">
        <f>HLOOKUP(Language!$C$3,Language!$E$1:$Z499,67,FALSE)</f>
        <v>25 m (82 ft) TNC Male to BNC Male (Attennuation &lt; 0.5 dB/m @ 1500 MHZ)</v>
      </c>
    </row>
    <row r="76" spans="1:12" ht="12.5" x14ac:dyDescent="0.25">
      <c r="A76" s="25"/>
      <c r="B76" s="132" t="str">
        <f>HLOOKUP(Language!$C$3,Language!$E$1:$Z500,30,FALSE)</f>
        <v>25 m (82 ft) TNC Male to BNC Male RGC-58 antenna cable</v>
      </c>
      <c r="C76" s="132" t="str">
        <f>HLOOKUP(Language!$C$3,Language!$E$1:$Z500,30,FALSE)</f>
        <v>25 m (82 ft) TNC Male to BNC Male RGC-58 antenna cable</v>
      </c>
      <c r="D76" s="132" t="str">
        <f>HLOOKUP(Language!$C$3,Language!$E$1:$Z500,55,FALSE)</f>
        <v>25 m (82 ft) TNC Male to BNC Male (Attennuation &lt; 0,05 dB/m @ 1500 MHZ)</v>
      </c>
      <c r="E76" s="132" t="str">
        <f>HLOOKUP(Language!$C$3,Language!$E$1:$Z500,55,FALSE)</f>
        <v>25 m (82 ft) TNC Male to BNC Male (Attennuation &lt; 0,05 dB/m @ 1500 MHZ)</v>
      </c>
      <c r="F76" s="132" t="str">
        <f>HLOOKUP(Language!$C$3,Language!$E$1:$Z500,55,FALSE)</f>
        <v>25 m (82 ft) TNC Male to BNC Male (Attennuation &lt; 0,05 dB/m @ 1500 MHZ)</v>
      </c>
      <c r="G76" s="132" t="str">
        <f>HLOOKUP(Language!$C$3,Language!$E$1:$Z500,55,FALSE)</f>
        <v>25 m (82 ft) TNC Male to BNC Male (Attennuation &lt; 0,05 dB/m @ 1500 MHZ)</v>
      </c>
      <c r="H76" s="132" t="str">
        <f>HLOOKUP(Language!$C$3,Language!$E$1:$Z500,67,FALSE)</f>
        <v>25 m (82 ft) TNC Male to BNC Male (Attennuation &lt; 0.5 dB/m @ 1500 MHZ)</v>
      </c>
      <c r="I76" s="132" t="str">
        <f>HLOOKUP(Language!$C$3,Language!$E$1:$Z500,67,FALSE)</f>
        <v>25 m (82 ft) TNC Male to BNC Male (Attennuation &lt; 0.5 dB/m @ 1500 MHZ)</v>
      </c>
      <c r="J76" s="132" t="str">
        <f>HLOOKUP(Language!$C$3,Language!$E$1:$Z500,67,FALSE)</f>
        <v>25 m (82 ft) TNC Male to BNC Male (Attennuation &lt; 0.5 dB/m @ 1500 MHZ)</v>
      </c>
      <c r="K76" s="132" t="str">
        <f>HLOOKUP(Language!$C$3,Language!$E$1:$Z500,67,FALSE)</f>
        <v>25 m (82 ft) TNC Male to BNC Male (Attennuation &lt; 0.5 dB/m @ 1500 MHZ)</v>
      </c>
      <c r="L76" s="132" t="str">
        <f>HLOOKUP(Language!$C$3,Language!$E$1:$Z499,68,FALSE)</f>
        <v>40 m (131 ft) TNC Male to BNC Male (Attennuation &lt; 0.5 dB/m @ 1500 MHZ)</v>
      </c>
    </row>
    <row r="77" spans="1:12" ht="12.5" x14ac:dyDescent="0.25">
      <c r="A77" s="25"/>
      <c r="B77" s="132" t="str">
        <f>HLOOKUP(Language!$C$3,Language!$E$1:$Z500,31,FALSE)</f>
        <v>40 m (131 ft) TNC Male to BNC Male RGC-58 antenna cable</v>
      </c>
      <c r="C77" s="132" t="str">
        <f>HLOOKUP(Language!$C$3,Language!$E$1:$Z500,31,FALSE)</f>
        <v>40 m (131 ft) TNC Male to BNC Male RGC-58 antenna cable</v>
      </c>
      <c r="D77" s="132" t="str">
        <f>HLOOKUP(Language!$C$3,Language!$E$1:$Z500,56,FALSE)</f>
        <v>40 m (131 ft) TNC Male to BNC Male (Attennuation &lt; 0,05 dB/m @ 1500 MHZ)</v>
      </c>
      <c r="E77" s="132" t="str">
        <f>HLOOKUP(Language!$C$3,Language!$E$1:$Z500,56,FALSE)</f>
        <v>40 m (131 ft) TNC Male to BNC Male (Attennuation &lt; 0,05 dB/m @ 1500 MHZ)</v>
      </c>
      <c r="F77" s="132" t="str">
        <f>HLOOKUP(Language!$C$3,Language!$E$1:$Z500,56,FALSE)</f>
        <v>40 m (131 ft) TNC Male to BNC Male (Attennuation &lt; 0,05 dB/m @ 1500 MHZ)</v>
      </c>
      <c r="G77" s="132" t="str">
        <f>HLOOKUP(Language!$C$3,Language!$E$1:$Z500,56,FALSE)</f>
        <v>40 m (131 ft) TNC Male to BNC Male (Attennuation &lt; 0,05 dB/m @ 1500 MHZ)</v>
      </c>
      <c r="H77" s="132" t="str">
        <f>HLOOKUP(Language!$C$3,Language!$E$1:$Z500,68,FALSE)</f>
        <v>40 m (131 ft) TNC Male to BNC Male (Attennuation &lt; 0.5 dB/m @ 1500 MHZ)</v>
      </c>
      <c r="I77" s="132" t="str">
        <f>HLOOKUP(Language!$C$3,Language!$E$1:$Z500,68,FALSE)</f>
        <v>40 m (131 ft) TNC Male to BNC Male (Attennuation &lt; 0.5 dB/m @ 1500 MHZ)</v>
      </c>
      <c r="J77" s="132" t="str">
        <f>HLOOKUP(Language!$C$3,Language!$E$1:$Z500,68,FALSE)</f>
        <v>40 m (131 ft) TNC Male to BNC Male (Attennuation &lt; 0.5 dB/m @ 1500 MHZ)</v>
      </c>
      <c r="K77" s="132" t="str">
        <f>HLOOKUP(Language!$C$3,Language!$E$1:$Z500,68,FALSE)</f>
        <v>40 m (131 ft) TNC Male to BNC Male (Attennuation &lt; 0.5 dB/m @ 1500 MHZ)</v>
      </c>
      <c r="L77" s="132" t="str">
        <f>HLOOKUP(Language!$C$3,Language!$E$1:$Z498,70,FALSE)</f>
        <v>100 m (328 ft) TNC Male to BNC Male (Attennuation &lt; 0.2 dB/m @ 1500 MHZ)</v>
      </c>
    </row>
    <row r="78" spans="1:12" ht="12.5" x14ac:dyDescent="0.25">
      <c r="A78" s="25"/>
      <c r="B78" s="132" t="str">
        <f>HLOOKUP(Language!$C$3,Language!$E$1:$Z500,32,FALSE)</f>
        <v>75 m (246 ft) TNC Male to BNC Male RGC-08 low attenuation antenna cable</v>
      </c>
      <c r="C78" s="132" t="str">
        <f>HLOOKUP(Language!$C$3,Language!$E$1:$Z500,32,FALSE)</f>
        <v>75 m (246 ft) TNC Male to BNC Male RGC-08 low attenuation antenna cable</v>
      </c>
      <c r="D78" s="132" t="str">
        <f>HLOOKUP(Language!$C$3,Language!$E$1:$Z500,57,FALSE)</f>
        <v>75 m (246 ft) TNC Male to BNC Male (Attennuation &lt; 0,02 dB/m @ 1500 MHZ)</v>
      </c>
      <c r="E78" s="132" t="str">
        <f>HLOOKUP(Language!$C$3,Language!$E$1:$Z500,57,FALSE)</f>
        <v>75 m (246 ft) TNC Male to BNC Male (Attennuation &lt; 0,02 dB/m @ 1500 MHZ)</v>
      </c>
      <c r="F78" s="132" t="str">
        <f>HLOOKUP(Language!$C$3,Language!$E$1:$Z500,57,FALSE)</f>
        <v>75 m (246 ft) TNC Male to BNC Male (Attennuation &lt; 0,02 dB/m @ 1500 MHZ)</v>
      </c>
      <c r="G78" s="132" t="str">
        <f>HLOOKUP(Language!$C$3,Language!$E$1:$Z500,57,FALSE)</f>
        <v>75 m (246 ft) TNC Male to BNC Male (Attennuation &lt; 0,02 dB/m @ 1500 MHZ)</v>
      </c>
      <c r="H78" s="132" t="str">
        <f>HLOOKUP(Language!$C$3,Language!$E$1:$Z500,69,FALSE)</f>
        <v>75 m (246 ft) TNC Male to BNC Male (Attennuation &lt; 0.2 dB/m @ 1500 MHZ)</v>
      </c>
      <c r="I78" s="132" t="str">
        <f>HLOOKUP(Language!$C$3,Language!$E$1:$Z500,69,FALSE)</f>
        <v>75 m (246 ft) TNC Male to BNC Male (Attennuation &lt; 0.2 dB/m @ 1500 MHZ)</v>
      </c>
      <c r="J78" s="132" t="str">
        <f>HLOOKUP(Language!$C$3,Language!$E$1:$Z500,69,FALSE)</f>
        <v>75 m (246 ft) TNC Male to BNC Male (Attennuation &lt; 0.2 dB/m @ 1500 MHZ)</v>
      </c>
      <c r="K78" s="132" t="str">
        <f>HLOOKUP(Language!$C$3,Language!$E$1:$Z500,69,FALSE)</f>
        <v>75 m (246 ft) TNC Male to BNC Male (Attennuation &lt; 0.2 dB/m @ 1500 MHZ)</v>
      </c>
      <c r="L78" s="132"/>
    </row>
    <row r="79" spans="1:12" ht="12.5" x14ac:dyDescent="0.25">
      <c r="A79" s="25"/>
      <c r="B79" s="132" t="str">
        <f>HLOOKUP(Language!$C$3,Language!$E$1:$Z500,33,FALSE)</f>
        <v>100 m (328 ft) TNC Male to BNC Male RGC-08 low attenuation antenna cable</v>
      </c>
      <c r="C79" s="132" t="str">
        <f>HLOOKUP(Language!$C$3,Language!$E$1:$Z500,33,FALSE)</f>
        <v>100 m (328 ft) TNC Male to BNC Male RGC-08 low attenuation antenna cable</v>
      </c>
      <c r="D79" s="132" t="str">
        <f>HLOOKUP(Language!$C$3,Language!$E$1:$Z500,58,FALSE)</f>
        <v>100 m (328 ft) TNC Male to BNC Male (Attennuation &lt; 0,02 dB/m @ 1500 MHZ)</v>
      </c>
      <c r="E79" s="132" t="str">
        <f>HLOOKUP(Language!$C$3,Language!$E$1:$Z500,58,FALSE)</f>
        <v>100 m (328 ft) TNC Male to BNC Male (Attennuation &lt; 0,02 dB/m @ 1500 MHZ)</v>
      </c>
      <c r="F79" s="132" t="str">
        <f>HLOOKUP(Language!$C$3,Language!$E$1:$Z500,58,FALSE)</f>
        <v>100 m (328 ft) TNC Male to BNC Male (Attennuation &lt; 0,02 dB/m @ 1500 MHZ)</v>
      </c>
      <c r="G79" s="132" t="str">
        <f>HLOOKUP(Language!$C$3,Language!$E$1:$Z500,58,FALSE)</f>
        <v>100 m (328 ft) TNC Male to BNC Male (Attennuation &lt; 0,02 dB/m @ 1500 MHZ)</v>
      </c>
      <c r="H79" s="132" t="str">
        <f>HLOOKUP(Language!$C$3,Language!$E$1:$Z500,70,FALSE)</f>
        <v>100 m (328 ft) TNC Male to BNC Male (Attennuation &lt; 0.2 dB/m @ 1500 MHZ)</v>
      </c>
      <c r="I79" s="132" t="str">
        <f>HLOOKUP(Language!$C$3,Language!$E$1:$Z500,70,FALSE)</f>
        <v>100 m (328 ft) TNC Male to BNC Male (Attennuation &lt; 0.2 dB/m @ 1500 MHZ)</v>
      </c>
      <c r="J79" s="132" t="str">
        <f>HLOOKUP(Language!$C$3,Language!$E$1:$Z500,70,FALSE)</f>
        <v>100 m (328 ft) TNC Male to BNC Male (Attennuation &lt; 0.2 dB/m @ 1500 MHZ)</v>
      </c>
      <c r="K79" s="132" t="str">
        <f>HLOOKUP(Language!$C$3,Language!$E$1:$Z500,70,FALSE)</f>
        <v>100 m (328 ft) TNC Male to BNC Male (Attennuation &lt; 0.2 dB/m @ 1500 MHZ)</v>
      </c>
      <c r="L79" s="132"/>
    </row>
    <row r="80" spans="1:12" ht="12.5" x14ac:dyDescent="0.25">
      <c r="B80" s="16"/>
      <c r="C80" s="16"/>
      <c r="D80" s="16"/>
      <c r="E80" s="16"/>
      <c r="F80" s="16"/>
      <c r="G80" s="16"/>
      <c r="H80" s="16"/>
      <c r="I80" s="16"/>
      <c r="J80" s="132" t="str">
        <f>HLOOKUP(Language!$C$3,Language!$E$1:$Z501,74,FALSE)</f>
        <v>150 m (492 ft) TNC Male to BNC Male (Attennuation &lt; 0.2 dB/m @ 1500 MHZ)</v>
      </c>
      <c r="K80" s="132" t="str">
        <f>HLOOKUP(Language!$C$3,Language!$E$1:$Z501,74,FALSE)</f>
        <v>150 m (492 ft) TNC Male to BNC Male (Attennuation &lt; 0.2 dB/m @ 1500 MHZ)</v>
      </c>
      <c r="L80" s="132"/>
    </row>
    <row r="81" spans="1:12" x14ac:dyDescent="0.25">
      <c r="B81" s="47"/>
      <c r="C81" s="47"/>
      <c r="D81" s="47"/>
      <c r="E81" s="47"/>
      <c r="F81" s="47"/>
      <c r="G81" s="47"/>
      <c r="H81" s="47"/>
      <c r="I81" s="47"/>
      <c r="J81" s="47"/>
      <c r="K81" s="47"/>
      <c r="L81" s="47"/>
    </row>
    <row r="82" spans="1:12" x14ac:dyDescent="0.25">
      <c r="B82" s="111"/>
      <c r="C82" s="111"/>
      <c r="D82" s="111"/>
      <c r="E82" s="111"/>
      <c r="F82" s="111"/>
      <c r="G82" s="111"/>
      <c r="H82" s="111"/>
      <c r="I82" s="111"/>
      <c r="J82" s="111"/>
      <c r="K82" s="111"/>
      <c r="L82" s="111"/>
    </row>
    <row r="83" spans="1:12" x14ac:dyDescent="0.25">
      <c r="B83" s="14">
        <v>0</v>
      </c>
      <c r="C83" s="14">
        <v>0</v>
      </c>
      <c r="D83" s="14">
        <v>0</v>
      </c>
      <c r="E83" s="14">
        <v>0</v>
      </c>
      <c r="F83" s="14">
        <v>0</v>
      </c>
      <c r="G83" s="14">
        <v>0</v>
      </c>
      <c r="H83" s="14">
        <v>0</v>
      </c>
      <c r="I83" s="14">
        <v>0</v>
      </c>
      <c r="J83" s="14">
        <v>0</v>
      </c>
      <c r="K83" s="14">
        <v>0</v>
      </c>
      <c r="L83" s="14">
        <v>0</v>
      </c>
    </row>
    <row r="84" spans="1:12" x14ac:dyDescent="0.25">
      <c r="B84" s="47">
        <v>1</v>
      </c>
      <c r="C84" s="47">
        <v>1</v>
      </c>
      <c r="D84" s="47">
        <v>1</v>
      </c>
      <c r="E84" s="47">
        <v>1</v>
      </c>
      <c r="F84" s="47">
        <v>1</v>
      </c>
      <c r="G84" s="47">
        <v>1</v>
      </c>
      <c r="H84" s="47">
        <v>1</v>
      </c>
      <c r="I84" s="47">
        <v>1</v>
      </c>
      <c r="J84" s="47">
        <v>1</v>
      </c>
      <c r="K84" s="47">
        <v>1</v>
      </c>
      <c r="L84" s="47">
        <v>2</v>
      </c>
    </row>
    <row r="85" spans="1:12" x14ac:dyDescent="0.25">
      <c r="B85" s="47">
        <v>2</v>
      </c>
      <c r="C85" s="47">
        <v>2</v>
      </c>
      <c r="D85" s="47">
        <v>2</v>
      </c>
      <c r="E85" s="47">
        <v>2</v>
      </c>
      <c r="F85" s="47">
        <v>2</v>
      </c>
      <c r="G85" s="47">
        <v>2</v>
      </c>
      <c r="H85" s="47">
        <v>2</v>
      </c>
      <c r="I85" s="47">
        <v>2</v>
      </c>
      <c r="J85" s="47">
        <v>2</v>
      </c>
      <c r="K85" s="47">
        <v>2</v>
      </c>
      <c r="L85" s="47">
        <v>3</v>
      </c>
    </row>
    <row r="86" spans="1:12" x14ac:dyDescent="0.25">
      <c r="B86" s="47">
        <v>3</v>
      </c>
      <c r="C86" s="47">
        <v>3</v>
      </c>
      <c r="D86" s="47">
        <v>3</v>
      </c>
      <c r="E86" s="47">
        <v>3</v>
      </c>
      <c r="F86" s="47">
        <v>3</v>
      </c>
      <c r="G86" s="47">
        <v>3</v>
      </c>
      <c r="H86" s="47">
        <v>3</v>
      </c>
      <c r="I86" s="47">
        <v>3</v>
      </c>
      <c r="J86" s="47">
        <v>3</v>
      </c>
      <c r="K86" s="47">
        <v>3</v>
      </c>
      <c r="L86" s="47">
        <v>5</v>
      </c>
    </row>
    <row r="87" spans="1:12" x14ac:dyDescent="0.25">
      <c r="B87" s="47">
        <v>4</v>
      </c>
      <c r="C87" s="47">
        <v>4</v>
      </c>
      <c r="D87" s="47">
        <v>4</v>
      </c>
      <c r="E87" s="47">
        <v>4</v>
      </c>
      <c r="F87" s="47">
        <v>4</v>
      </c>
      <c r="G87" s="47">
        <v>4</v>
      </c>
      <c r="H87" s="47">
        <v>4</v>
      </c>
      <c r="I87" s="47">
        <v>4</v>
      </c>
      <c r="J87" s="47">
        <v>4</v>
      </c>
      <c r="K87" s="47">
        <v>4</v>
      </c>
      <c r="L87" s="47"/>
    </row>
    <row r="88" spans="1:12" x14ac:dyDescent="0.25">
      <c r="B88" s="47">
        <v>5</v>
      </c>
      <c r="C88" s="47">
        <v>5</v>
      </c>
      <c r="D88" s="47">
        <v>5</v>
      </c>
      <c r="E88" s="47">
        <v>5</v>
      </c>
      <c r="F88" s="47">
        <v>5</v>
      </c>
      <c r="G88" s="47">
        <v>5</v>
      </c>
      <c r="H88" s="47">
        <v>5</v>
      </c>
      <c r="I88" s="47">
        <v>5</v>
      </c>
      <c r="J88" s="47">
        <v>5</v>
      </c>
      <c r="K88" s="47">
        <v>5</v>
      </c>
      <c r="L88" s="47"/>
    </row>
    <row r="89" spans="1:12" x14ac:dyDescent="0.25">
      <c r="B89" s="47"/>
      <c r="C89" s="47"/>
      <c r="D89" s="47"/>
      <c r="E89" s="47"/>
      <c r="F89" s="47"/>
      <c r="G89" s="47"/>
      <c r="H89" s="47"/>
      <c r="I89" s="47"/>
      <c r="J89" s="47">
        <v>6</v>
      </c>
      <c r="K89" s="47">
        <v>6</v>
      </c>
      <c r="L89" s="47"/>
    </row>
    <row r="90" spans="1:12" x14ac:dyDescent="0.25">
      <c r="B90" s="47"/>
      <c r="C90" s="47"/>
      <c r="D90" s="47"/>
      <c r="E90" s="47"/>
      <c r="F90" s="47"/>
      <c r="G90" s="47"/>
      <c r="H90" s="47"/>
      <c r="I90" s="47"/>
      <c r="J90" s="47"/>
      <c r="K90" s="47"/>
      <c r="L90" s="47"/>
    </row>
    <row r="91" spans="1:12" x14ac:dyDescent="0.25">
      <c r="B91" s="111"/>
      <c r="C91" s="111"/>
      <c r="D91" s="111"/>
      <c r="E91" s="111"/>
      <c r="F91" s="111"/>
      <c r="G91" s="111"/>
      <c r="H91" s="111"/>
      <c r="I91" s="111"/>
      <c r="J91" s="111"/>
      <c r="K91" s="111"/>
      <c r="L91" s="111"/>
    </row>
    <row r="92" spans="1:12" ht="13" x14ac:dyDescent="0.3">
      <c r="A92" s="142" t="str">
        <f>HLOOKUP(Language!$C$3,Language!$E$1:$Z571,34,FALSE)</f>
        <v>Surge Arrester</v>
      </c>
      <c r="B92" s="143" t="str">
        <f>HLOOKUP(Language!$C$3,Language!$E$1:$Z500,35,FALSE)</f>
        <v>Without surge arrester</v>
      </c>
      <c r="C92" s="143" t="str">
        <f>HLOOKUP(Language!$C$3,Language!$E$1:$Z500,35,FALSE)</f>
        <v>Without surge arrester</v>
      </c>
      <c r="D92" s="143" t="str">
        <f>HLOOKUP(Language!$C$3,Language!$E$1:$Z500,35,FALSE)</f>
        <v>Without surge arrester</v>
      </c>
      <c r="E92" s="143" t="str">
        <f>HLOOKUP(Language!$C$3,Language!$E$1:$Z500,35,FALSE)</f>
        <v>Without surge arrester</v>
      </c>
      <c r="F92" s="143" t="str">
        <f>HLOOKUP(Language!$C$3,Language!$E$1:$Z500,35,FALSE)</f>
        <v>Without surge arrester</v>
      </c>
      <c r="G92" s="143" t="str">
        <f>HLOOKUP(Language!$C$3,Language!$E$1:$Z500,35,FALSE)</f>
        <v>Without surge arrester</v>
      </c>
      <c r="H92" s="143" t="str">
        <f>HLOOKUP(Language!$C$3,Language!$E$1:$Z500,35,FALSE)</f>
        <v>Without surge arrester</v>
      </c>
      <c r="I92" s="143" t="str">
        <f>HLOOKUP(Language!$C$3,Language!$E$1:$Z500,35,FALSE)</f>
        <v>Without surge arrester</v>
      </c>
      <c r="J92" s="143" t="str">
        <f>HLOOKUP(Language!$C$3,Language!$E$1:$Z500,35,FALSE)</f>
        <v>Without surge arrester</v>
      </c>
      <c r="K92" s="143" t="str">
        <f>HLOOKUP(Language!$C$3,Language!$E$1:$Z500,35,FALSE)</f>
        <v>Without surge arrester</v>
      </c>
      <c r="L92" s="143" t="str">
        <f>HLOOKUP(Language!$C$3,Language!$E$1:$Z500,35,FALSE)</f>
        <v>Without surge arrester</v>
      </c>
    </row>
    <row r="93" spans="1:12" ht="12.5" x14ac:dyDescent="0.25">
      <c r="A93" s="25"/>
      <c r="B93" s="146" t="str">
        <f>HLOOKUP(Language!$C$3,Language!$E$1:$Z500,36,FALSE)</f>
        <v>10 kA, 50 Ohms, BNC-type connector Surge Arrester for 0-2000 MHz</v>
      </c>
      <c r="C93" s="146" t="str">
        <f>HLOOKUP(Language!$C$3,Language!$E$1:$Z500,36,FALSE)</f>
        <v>10 kA, 50 Ohms, BNC-type connector Surge Arrester for 0-2000 MHz</v>
      </c>
      <c r="D93" s="146" t="str">
        <f>HLOOKUP(Language!$C$3,Language!$E$1:$Z500,36,FALSE)</f>
        <v>10 kA, 50 Ohms, BNC-type connector Surge Arrester for 0-2000 MHz</v>
      </c>
      <c r="E93" s="146" t="str">
        <f>HLOOKUP(Language!$C$3,Language!$E$1:$Z500,36,FALSE)</f>
        <v>10 kA, 50 Ohms, BNC-type connector Surge Arrester for 0-2000 MHz</v>
      </c>
      <c r="F93" s="146" t="str">
        <f>HLOOKUP(Language!$C$3,Language!$E$1:$Z500,36,FALSE)</f>
        <v>10 kA, 50 Ohms, BNC-type connector Surge Arrester for 0-2000 MHz</v>
      </c>
      <c r="G93" s="146" t="str">
        <f>HLOOKUP(Language!$C$3,Language!$E$1:$Z500,36,FALSE)</f>
        <v>10 kA, 50 Ohms, BNC-type connector Surge Arrester for 0-2000 MHz</v>
      </c>
      <c r="H93" s="146" t="str">
        <f>HLOOKUP(Language!$C$3,Language!$E$1:$Z500,36,FALSE)</f>
        <v>10 kA, 50 Ohms, BNC-type connector Surge Arrester for 0-2000 MHz</v>
      </c>
      <c r="I93" s="146" t="str">
        <f>HLOOKUP(Language!$C$3,Language!$E$1:$Z500,36,FALSE)</f>
        <v>10 kA, 50 Ohms, BNC-type connector Surge Arrester for 0-2000 MHz</v>
      </c>
      <c r="J93" s="146" t="str">
        <f>HLOOKUP(Language!$C$3,Language!$E$1:$Z500,36,FALSE)</f>
        <v>10 kA, 50 Ohms, BNC-type connector Surge Arrester for 0-2000 MHz</v>
      </c>
      <c r="K93" s="146" t="str">
        <f>HLOOKUP(Language!$C$3,Language!$E$1:$Z500,36,FALSE)</f>
        <v>10 kA, 50 Ohms, BNC-type connector Surge Arrester for 0-2000 MHz</v>
      </c>
      <c r="L93" s="146" t="str">
        <f>HLOOKUP(Language!$C$3,Language!$E$1:$Z500,36,FALSE)</f>
        <v>10 kA, 50 Ohms, BNC-type connector Surge Arrester for 0-2000 MHz</v>
      </c>
    </row>
    <row r="94" spans="1:12" x14ac:dyDescent="0.25">
      <c r="A94" s="25"/>
      <c r="B94" s="144"/>
      <c r="C94" s="144"/>
      <c r="D94" s="144"/>
      <c r="E94" s="144"/>
      <c r="F94" s="144"/>
      <c r="G94" s="144"/>
      <c r="H94" s="144"/>
      <c r="I94" s="144"/>
      <c r="J94" s="144"/>
      <c r="K94" s="144"/>
      <c r="L94" s="144"/>
    </row>
    <row r="95" spans="1:12" x14ac:dyDescent="0.25">
      <c r="A95" s="25"/>
      <c r="B95" s="18"/>
      <c r="C95" s="18"/>
      <c r="D95" s="18"/>
      <c r="E95" s="18"/>
      <c r="F95" s="18"/>
      <c r="G95" s="18"/>
      <c r="H95" s="18"/>
      <c r="I95" s="18"/>
      <c r="J95" s="18"/>
      <c r="K95" s="18"/>
      <c r="L95" s="18"/>
    </row>
    <row r="96" spans="1:12" x14ac:dyDescent="0.25">
      <c r="A96" s="25"/>
      <c r="B96" s="18"/>
      <c r="C96" s="18"/>
      <c r="D96" s="18"/>
      <c r="E96" s="18"/>
      <c r="F96" s="18"/>
      <c r="G96" s="18"/>
      <c r="H96" s="18"/>
      <c r="I96" s="18"/>
      <c r="J96" s="18"/>
      <c r="K96" s="18"/>
      <c r="L96" s="18"/>
    </row>
    <row r="97" spans="1:12" x14ac:dyDescent="0.25">
      <c r="A97" s="25"/>
      <c r="B97" s="18"/>
      <c r="C97" s="18"/>
      <c r="D97" s="18"/>
      <c r="E97" s="18"/>
      <c r="F97" s="18"/>
      <c r="G97" s="18"/>
      <c r="H97" s="18"/>
      <c r="I97" s="18"/>
      <c r="J97" s="18"/>
      <c r="K97" s="18"/>
      <c r="L97" s="18"/>
    </row>
    <row r="98" spans="1:12" x14ac:dyDescent="0.25">
      <c r="B98" s="110">
        <v>0</v>
      </c>
      <c r="C98" s="110">
        <v>0</v>
      </c>
      <c r="D98" s="110">
        <v>0</v>
      </c>
      <c r="E98" s="110">
        <v>0</v>
      </c>
      <c r="F98" s="110">
        <v>0</v>
      </c>
      <c r="G98" s="110">
        <v>0</v>
      </c>
      <c r="H98" s="110">
        <v>0</v>
      </c>
      <c r="I98" s="110">
        <v>0</v>
      </c>
      <c r="J98" s="110">
        <v>0</v>
      </c>
      <c r="K98" s="110">
        <v>0</v>
      </c>
      <c r="L98" s="110">
        <v>0</v>
      </c>
    </row>
    <row r="99" spans="1:12" x14ac:dyDescent="0.25">
      <c r="B99" s="47">
        <v>1</v>
      </c>
      <c r="C99" s="47">
        <v>1</v>
      </c>
      <c r="D99" s="47">
        <v>1</v>
      </c>
      <c r="E99" s="47">
        <v>1</v>
      </c>
      <c r="F99" s="47">
        <v>1</v>
      </c>
      <c r="G99" s="47">
        <v>1</v>
      </c>
      <c r="H99" s="47">
        <v>1</v>
      </c>
      <c r="I99" s="47">
        <v>1</v>
      </c>
      <c r="J99" s="47">
        <v>1</v>
      </c>
      <c r="K99" s="47">
        <v>1</v>
      </c>
      <c r="L99" s="47">
        <v>1</v>
      </c>
    </row>
    <row r="100" spans="1:12" x14ac:dyDescent="0.25">
      <c r="B100" s="47"/>
      <c r="C100" s="47"/>
      <c r="D100" s="47"/>
      <c r="E100" s="47"/>
      <c r="F100" s="47"/>
      <c r="G100" s="47"/>
      <c r="H100" s="47"/>
      <c r="I100" s="47"/>
      <c r="J100" s="47"/>
      <c r="K100" s="47"/>
      <c r="L100" s="47"/>
    </row>
    <row r="101" spans="1:12" x14ac:dyDescent="0.25">
      <c r="B101" s="47"/>
      <c r="C101" s="47"/>
      <c r="D101" s="47"/>
      <c r="E101" s="47"/>
      <c r="F101" s="47"/>
      <c r="G101" s="47"/>
      <c r="H101" s="47"/>
      <c r="I101" s="47"/>
      <c r="J101" s="47"/>
      <c r="K101" s="47"/>
      <c r="L101" s="47"/>
    </row>
    <row r="102" spans="1:12" x14ac:dyDescent="0.25">
      <c r="B102" s="47"/>
      <c r="C102" s="47"/>
      <c r="D102" s="47"/>
      <c r="E102" s="47"/>
      <c r="F102" s="47"/>
      <c r="G102" s="47"/>
      <c r="H102" s="47"/>
      <c r="I102" s="47"/>
      <c r="J102" s="47"/>
      <c r="K102" s="47"/>
      <c r="L102" s="47"/>
    </row>
    <row r="103" spans="1:12" x14ac:dyDescent="0.25">
      <c r="B103" s="111"/>
      <c r="C103" s="111"/>
      <c r="D103" s="111"/>
      <c r="E103" s="111"/>
      <c r="F103" s="111"/>
      <c r="G103" s="111"/>
      <c r="H103" s="111"/>
      <c r="I103" s="111"/>
      <c r="J103" s="111"/>
      <c r="K103" s="111"/>
      <c r="L103" s="111"/>
    </row>
  </sheetData>
  <phoneticPr fontId="19"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84"/>
  <sheetViews>
    <sheetView topLeftCell="A66" workbookViewId="0">
      <selection activeCell="E90" sqref="E90"/>
    </sheetView>
  </sheetViews>
  <sheetFormatPr defaultRowHeight="14.5" x14ac:dyDescent="0.35"/>
  <cols>
    <col min="1" max="1" width="2.453125" style="181" customWidth="1"/>
    <col min="2" max="2" width="28.81640625" style="182" customWidth="1"/>
    <col min="3" max="3" width="3.1796875" style="183" customWidth="1"/>
    <col min="4" max="4" width="3.1796875" style="182" customWidth="1"/>
    <col min="5" max="6" width="72.7265625" style="184" customWidth="1"/>
    <col min="7" max="7" width="72.7265625" customWidth="1"/>
  </cols>
  <sheetData>
    <row r="1" spans="1:7" x14ac:dyDescent="0.35">
      <c r="B1" s="182" t="s">
        <v>43</v>
      </c>
      <c r="E1" s="184" t="s">
        <v>44</v>
      </c>
      <c r="F1" s="184" t="s">
        <v>45</v>
      </c>
      <c r="G1" s="184" t="s">
        <v>46</v>
      </c>
    </row>
    <row r="2" spans="1:7" x14ac:dyDescent="0.35">
      <c r="E2" s="184" t="s">
        <v>11</v>
      </c>
      <c r="F2" s="184" t="s">
        <v>47</v>
      </c>
      <c r="G2" s="184" t="s">
        <v>47</v>
      </c>
    </row>
    <row r="3" spans="1:7" x14ac:dyDescent="0.35">
      <c r="A3" s="185">
        <v>1</v>
      </c>
      <c r="B3" s="186" t="str">
        <f>VLOOKUP(A3,A4:C6,2,FALSE)</f>
        <v>English</v>
      </c>
      <c r="C3" s="187" t="str">
        <f>VLOOKUP(A3,A4:C6,3,FALSE)</f>
        <v>En</v>
      </c>
      <c r="D3" s="188"/>
      <c r="E3" s="184" t="s">
        <v>125</v>
      </c>
      <c r="F3" s="184" t="s">
        <v>125</v>
      </c>
      <c r="G3" s="184" t="s">
        <v>125</v>
      </c>
    </row>
    <row r="4" spans="1:7" x14ac:dyDescent="0.35">
      <c r="A4" s="189">
        <v>1</v>
      </c>
      <c r="B4" s="188" t="s">
        <v>48</v>
      </c>
      <c r="C4" s="190" t="s">
        <v>44</v>
      </c>
      <c r="D4" s="188"/>
      <c r="E4" s="184" t="s">
        <v>25</v>
      </c>
      <c r="F4" s="184" t="s">
        <v>25</v>
      </c>
      <c r="G4" s="184" t="s">
        <v>25</v>
      </c>
    </row>
    <row r="5" spans="1:7" x14ac:dyDescent="0.35">
      <c r="A5" s="189">
        <v>2</v>
      </c>
      <c r="B5" s="188" t="s">
        <v>49</v>
      </c>
      <c r="C5" s="190" t="s">
        <v>45</v>
      </c>
      <c r="D5" s="188"/>
      <c r="E5" s="184" t="s">
        <v>26</v>
      </c>
      <c r="F5" s="184" t="s">
        <v>129</v>
      </c>
      <c r="G5" s="184" t="s">
        <v>50</v>
      </c>
    </row>
    <row r="6" spans="1:7" x14ac:dyDescent="0.35">
      <c r="A6" s="191">
        <v>3</v>
      </c>
      <c r="B6" s="192" t="s">
        <v>51</v>
      </c>
      <c r="C6" s="193" t="s">
        <v>46</v>
      </c>
      <c r="D6" s="188"/>
      <c r="E6" s="184" t="s">
        <v>178</v>
      </c>
      <c r="F6" s="184" t="s">
        <v>177</v>
      </c>
      <c r="G6" s="184" t="s">
        <v>177</v>
      </c>
    </row>
    <row r="7" spans="1:7" x14ac:dyDescent="0.35">
      <c r="E7" s="184" t="s">
        <v>52</v>
      </c>
      <c r="F7" s="184" t="s">
        <v>53</v>
      </c>
      <c r="G7" s="184" t="s">
        <v>54</v>
      </c>
    </row>
    <row r="8" spans="1:7" x14ac:dyDescent="0.35">
      <c r="E8" s="184" t="s">
        <v>55</v>
      </c>
      <c r="F8" s="184" t="s">
        <v>56</v>
      </c>
      <c r="G8" s="184" t="s">
        <v>135</v>
      </c>
    </row>
    <row r="9" spans="1:7" x14ac:dyDescent="0.35">
      <c r="E9" s="184" t="s">
        <v>27</v>
      </c>
      <c r="F9" s="184" t="s">
        <v>127</v>
      </c>
      <c r="G9" s="184" t="s">
        <v>128</v>
      </c>
    </row>
    <row r="10" spans="1:7" x14ac:dyDescent="0.35">
      <c r="E10" s="184" t="s">
        <v>18</v>
      </c>
      <c r="F10" s="184" t="s">
        <v>57</v>
      </c>
      <c r="G10" s="184" t="s">
        <v>58</v>
      </c>
    </row>
    <row r="11" spans="1:7" x14ac:dyDescent="0.35">
      <c r="E11" s="184" t="s">
        <v>19</v>
      </c>
      <c r="F11" s="184" t="s">
        <v>59</v>
      </c>
      <c r="G11" s="184" t="s">
        <v>60</v>
      </c>
    </row>
    <row r="12" spans="1:7" x14ac:dyDescent="0.35">
      <c r="E12" s="184" t="s">
        <v>21</v>
      </c>
      <c r="F12" s="184" t="s">
        <v>61</v>
      </c>
      <c r="G12" s="184" t="s">
        <v>62</v>
      </c>
    </row>
    <row r="13" spans="1:7" x14ac:dyDescent="0.35">
      <c r="E13" s="184" t="s">
        <v>63</v>
      </c>
      <c r="F13" s="184" t="s">
        <v>64</v>
      </c>
      <c r="G13" s="184" t="s">
        <v>65</v>
      </c>
    </row>
    <row r="14" spans="1:7" x14ac:dyDescent="0.35">
      <c r="E14" s="184" t="s">
        <v>66</v>
      </c>
      <c r="F14" s="184" t="s">
        <v>67</v>
      </c>
      <c r="G14" s="184" t="s">
        <v>68</v>
      </c>
    </row>
    <row r="15" spans="1:7" x14ac:dyDescent="0.35">
      <c r="E15" s="184" t="s">
        <v>69</v>
      </c>
      <c r="F15" s="184" t="s">
        <v>70</v>
      </c>
      <c r="G15" s="184" t="s">
        <v>71</v>
      </c>
    </row>
    <row r="16" spans="1:7" x14ac:dyDescent="0.35">
      <c r="E16" s="184" t="s">
        <v>12</v>
      </c>
      <c r="F16" s="184" t="s">
        <v>72</v>
      </c>
      <c r="G16" s="184" t="s">
        <v>73</v>
      </c>
    </row>
    <row r="17" spans="5:7" x14ac:dyDescent="0.35">
      <c r="E17" s="184" t="s">
        <v>13</v>
      </c>
      <c r="F17" s="184" t="s">
        <v>13</v>
      </c>
      <c r="G17" s="184" t="s">
        <v>13</v>
      </c>
    </row>
    <row r="18" spans="5:7" x14ac:dyDescent="0.35">
      <c r="E18" s="184" t="s">
        <v>14</v>
      </c>
      <c r="F18" s="184" t="s">
        <v>74</v>
      </c>
      <c r="G18" s="184" t="s">
        <v>74</v>
      </c>
    </row>
    <row r="19" spans="5:7" x14ac:dyDescent="0.35">
      <c r="E19" s="184" t="s">
        <v>17</v>
      </c>
      <c r="F19" t="s">
        <v>75</v>
      </c>
      <c r="G19" t="s">
        <v>76</v>
      </c>
    </row>
    <row r="20" spans="5:7" x14ac:dyDescent="0.35">
      <c r="E20" s="184" t="s">
        <v>22</v>
      </c>
      <c r="F20" s="184" t="s">
        <v>77</v>
      </c>
      <c r="G20" s="184" t="s">
        <v>78</v>
      </c>
    </row>
    <row r="21" spans="5:7" x14ac:dyDescent="0.35">
      <c r="E21" s="194" t="s">
        <v>167</v>
      </c>
      <c r="F21" s="194" t="s">
        <v>168</v>
      </c>
      <c r="G21" s="194" t="s">
        <v>169</v>
      </c>
    </row>
    <row r="22" spans="5:7" x14ac:dyDescent="0.35">
      <c r="E22" s="184" t="s">
        <v>15</v>
      </c>
      <c r="F22" s="184" t="s">
        <v>79</v>
      </c>
      <c r="G22" s="184" t="s">
        <v>80</v>
      </c>
    </row>
    <row r="23" spans="5:7" x14ac:dyDescent="0.35">
      <c r="E23" s="184" t="s">
        <v>134</v>
      </c>
      <c r="F23" s="184" t="s">
        <v>81</v>
      </c>
      <c r="G23" s="184" t="s">
        <v>82</v>
      </c>
    </row>
    <row r="24" spans="5:7" x14ac:dyDescent="0.35">
      <c r="E24" s="184" t="s">
        <v>31</v>
      </c>
      <c r="F24" s="184" t="s">
        <v>83</v>
      </c>
      <c r="G24" s="184" t="s">
        <v>83</v>
      </c>
    </row>
    <row r="25" spans="5:7" x14ac:dyDescent="0.35">
      <c r="E25" s="184" t="s">
        <v>32</v>
      </c>
      <c r="F25" s="184" t="s">
        <v>136</v>
      </c>
      <c r="G25" s="184" t="s">
        <v>137</v>
      </c>
    </row>
    <row r="26" spans="5:7" x14ac:dyDescent="0.35">
      <c r="E26" s="184" t="s">
        <v>33</v>
      </c>
      <c r="F26" s="184" t="s">
        <v>84</v>
      </c>
      <c r="G26" s="184" t="s">
        <v>85</v>
      </c>
    </row>
    <row r="27" spans="5:7" x14ac:dyDescent="0.35">
      <c r="E27" s="184" t="s">
        <v>34</v>
      </c>
      <c r="F27" s="184" t="s">
        <v>86</v>
      </c>
      <c r="G27" s="184" t="s">
        <v>87</v>
      </c>
    </row>
    <row r="28" spans="5:7" x14ac:dyDescent="0.35">
      <c r="E28" s="184" t="s">
        <v>35</v>
      </c>
      <c r="F28" s="184" t="s">
        <v>88</v>
      </c>
      <c r="G28" s="184" t="s">
        <v>138</v>
      </c>
    </row>
    <row r="29" spans="5:7" x14ac:dyDescent="0.35">
      <c r="E29" s="184" t="s">
        <v>36</v>
      </c>
      <c r="F29" s="184" t="s">
        <v>89</v>
      </c>
      <c r="G29" s="184" t="s">
        <v>90</v>
      </c>
    </row>
    <row r="30" spans="5:7" x14ac:dyDescent="0.35">
      <c r="E30" s="184" t="s">
        <v>37</v>
      </c>
      <c r="F30" s="184" t="s">
        <v>91</v>
      </c>
      <c r="G30" s="184" t="s">
        <v>92</v>
      </c>
    </row>
    <row r="31" spans="5:7" x14ac:dyDescent="0.35">
      <c r="E31" s="184" t="s">
        <v>131</v>
      </c>
      <c r="F31" s="184" t="s">
        <v>132</v>
      </c>
      <c r="G31" s="184" t="s">
        <v>133</v>
      </c>
    </row>
    <row r="32" spans="5:7" x14ac:dyDescent="0.35">
      <c r="E32" s="184" t="s">
        <v>38</v>
      </c>
      <c r="F32" s="184" t="s">
        <v>93</v>
      </c>
      <c r="G32" s="184" t="s">
        <v>94</v>
      </c>
    </row>
    <row r="33" spans="5:7" x14ac:dyDescent="0.35">
      <c r="E33" s="184" t="s">
        <v>39</v>
      </c>
      <c r="F33" s="184" t="s">
        <v>95</v>
      </c>
      <c r="G33" s="184" t="s">
        <v>96</v>
      </c>
    </row>
    <row r="34" spans="5:7" x14ac:dyDescent="0.35">
      <c r="E34" s="184" t="s">
        <v>40</v>
      </c>
      <c r="F34" s="184" t="s">
        <v>97</v>
      </c>
      <c r="G34" s="184" t="s">
        <v>98</v>
      </c>
    </row>
    <row r="35" spans="5:7" x14ac:dyDescent="0.35">
      <c r="E35" s="184" t="s">
        <v>41</v>
      </c>
      <c r="F35" s="184" t="s">
        <v>99</v>
      </c>
      <c r="G35" s="184" t="s">
        <v>139</v>
      </c>
    </row>
    <row r="36" spans="5:7" x14ac:dyDescent="0.35">
      <c r="E36" s="184" t="s">
        <v>42</v>
      </c>
      <c r="F36" s="184" t="s">
        <v>100</v>
      </c>
      <c r="G36" s="184" t="s">
        <v>101</v>
      </c>
    </row>
    <row r="37" spans="5:7" x14ac:dyDescent="0.35">
      <c r="E37" s="201" t="s">
        <v>28</v>
      </c>
      <c r="F37" s="184" t="s">
        <v>126</v>
      </c>
      <c r="G37" s="184" t="s">
        <v>126</v>
      </c>
    </row>
    <row r="38" spans="5:7" x14ac:dyDescent="0.35">
      <c r="E38" s="184" t="s">
        <v>102</v>
      </c>
      <c r="F38" s="184" t="s">
        <v>103</v>
      </c>
      <c r="G38" s="184" t="s">
        <v>104</v>
      </c>
    </row>
    <row r="39" spans="5:7" x14ac:dyDescent="0.35">
      <c r="E39" s="184" t="s">
        <v>105</v>
      </c>
      <c r="F39" s="184" t="s">
        <v>106</v>
      </c>
      <c r="G39" s="184" t="s">
        <v>107</v>
      </c>
    </row>
    <row r="40" spans="5:7" x14ac:dyDescent="0.35">
      <c r="E40" s="184" t="s">
        <v>108</v>
      </c>
      <c r="F40" s="184" t="s">
        <v>109</v>
      </c>
      <c r="G40" s="184" t="s">
        <v>110</v>
      </c>
    </row>
    <row r="41" spans="5:7" ht="24" x14ac:dyDescent="0.35">
      <c r="E41" s="184" t="s">
        <v>3</v>
      </c>
      <c r="F41" s="184" t="s">
        <v>130</v>
      </c>
      <c r="G41" s="184" t="s">
        <v>111</v>
      </c>
    </row>
    <row r="42" spans="5:7" ht="24" x14ac:dyDescent="0.35">
      <c r="E42" s="184" t="s">
        <v>4</v>
      </c>
      <c r="F42" s="184" t="s">
        <v>112</v>
      </c>
      <c r="G42" s="184" t="s">
        <v>113</v>
      </c>
    </row>
    <row r="43" spans="5:7" ht="35.5" x14ac:dyDescent="0.35">
      <c r="E43" s="194" t="s">
        <v>5</v>
      </c>
      <c r="F43" s="184" t="s">
        <v>114</v>
      </c>
      <c r="G43" s="184" t="s">
        <v>115</v>
      </c>
    </row>
    <row r="44" spans="5:7" x14ac:dyDescent="0.35">
      <c r="E44" s="184" t="s">
        <v>116</v>
      </c>
      <c r="F44" s="184" t="s">
        <v>117</v>
      </c>
      <c r="G44" s="184" t="s">
        <v>118</v>
      </c>
    </row>
    <row r="45" spans="5:7" x14ac:dyDescent="0.35">
      <c r="E45" s="184" t="s">
        <v>7</v>
      </c>
      <c r="F45" s="184" t="s">
        <v>119</v>
      </c>
      <c r="G45" s="184" t="s">
        <v>119</v>
      </c>
    </row>
    <row r="46" spans="5:7" x14ac:dyDescent="0.35">
      <c r="E46" s="184" t="s">
        <v>9</v>
      </c>
      <c r="F46" s="184" t="s">
        <v>9</v>
      </c>
      <c r="G46" s="184" t="s">
        <v>120</v>
      </c>
    </row>
    <row r="47" spans="5:7" x14ac:dyDescent="0.35">
      <c r="E47" s="184" t="s">
        <v>121</v>
      </c>
      <c r="F47" s="184" t="s">
        <v>122</v>
      </c>
      <c r="G47" s="184" t="s">
        <v>123</v>
      </c>
    </row>
    <row r="48" spans="5:7" x14ac:dyDescent="0.35">
      <c r="E48" s="184" t="s">
        <v>30</v>
      </c>
      <c r="F48" t="s">
        <v>124</v>
      </c>
      <c r="G48" t="s">
        <v>124</v>
      </c>
    </row>
    <row r="49" spans="5:7" x14ac:dyDescent="0.35">
      <c r="E49" s="194" t="s">
        <v>140</v>
      </c>
      <c r="F49" s="194" t="s">
        <v>141</v>
      </c>
      <c r="G49" s="205" t="s">
        <v>142</v>
      </c>
    </row>
    <row r="50" spans="5:7" x14ac:dyDescent="0.35">
      <c r="E50" s="194" t="s">
        <v>145</v>
      </c>
      <c r="F50" s="194" t="s">
        <v>146</v>
      </c>
      <c r="G50" s="205" t="s">
        <v>147</v>
      </c>
    </row>
    <row r="51" spans="5:7" x14ac:dyDescent="0.35">
      <c r="E51" s="194" t="s">
        <v>170</v>
      </c>
      <c r="F51" s="194" t="s">
        <v>171</v>
      </c>
      <c r="G51" s="194" t="s">
        <v>172</v>
      </c>
    </row>
    <row r="52" spans="5:7" x14ac:dyDescent="0.35">
      <c r="E52" s="184" t="s">
        <v>143</v>
      </c>
      <c r="F52" s="184" t="s">
        <v>144</v>
      </c>
      <c r="G52" t="s">
        <v>144</v>
      </c>
    </row>
    <row r="53" spans="5:7" x14ac:dyDescent="0.35">
      <c r="E53" s="194" t="s">
        <v>149</v>
      </c>
      <c r="F53" s="194" t="s">
        <v>150</v>
      </c>
      <c r="G53" s="194" t="s">
        <v>151</v>
      </c>
    </row>
    <row r="54" spans="5:7" x14ac:dyDescent="0.35">
      <c r="E54" s="194" t="s">
        <v>152</v>
      </c>
      <c r="F54" s="194" t="s">
        <v>153</v>
      </c>
      <c r="G54" s="194" t="s">
        <v>154</v>
      </c>
    </row>
    <row r="55" spans="5:7" x14ac:dyDescent="0.35">
      <c r="E55" s="194" t="s">
        <v>155</v>
      </c>
      <c r="F55" s="194" t="s">
        <v>156</v>
      </c>
      <c r="G55" s="194" t="s">
        <v>157</v>
      </c>
    </row>
    <row r="56" spans="5:7" x14ac:dyDescent="0.35">
      <c r="E56" s="194" t="s">
        <v>158</v>
      </c>
      <c r="F56" s="194" t="s">
        <v>159</v>
      </c>
      <c r="G56" s="194" t="s">
        <v>160</v>
      </c>
    </row>
    <row r="57" spans="5:7" x14ac:dyDescent="0.35">
      <c r="E57" s="194" t="s">
        <v>161</v>
      </c>
      <c r="F57" s="194" t="s">
        <v>162</v>
      </c>
      <c r="G57" s="194" t="s">
        <v>163</v>
      </c>
    </row>
    <row r="58" spans="5:7" x14ac:dyDescent="0.35">
      <c r="E58" s="194" t="s">
        <v>164</v>
      </c>
      <c r="F58" s="194" t="s">
        <v>165</v>
      </c>
      <c r="G58" s="194" t="s">
        <v>166</v>
      </c>
    </row>
    <row r="59" spans="5:7" x14ac:dyDescent="0.35">
      <c r="E59" s="194" t="s">
        <v>174</v>
      </c>
      <c r="F59" s="194" t="s">
        <v>175</v>
      </c>
      <c r="G59" s="205" t="s">
        <v>176</v>
      </c>
    </row>
    <row r="60" spans="5:7" x14ac:dyDescent="0.35">
      <c r="E60" s="184" t="s">
        <v>179</v>
      </c>
      <c r="F60" s="184" t="s">
        <v>171</v>
      </c>
      <c r="G60" s="194" t="s">
        <v>182</v>
      </c>
    </row>
    <row r="61" spans="5:7" x14ac:dyDescent="0.35">
      <c r="E61" s="184" t="s">
        <v>180</v>
      </c>
      <c r="F61" s="184" t="s">
        <v>181</v>
      </c>
      <c r="G61" s="194" t="s">
        <v>183</v>
      </c>
    </row>
    <row r="62" spans="5:7" ht="23" x14ac:dyDescent="0.35">
      <c r="E62" s="184" t="s">
        <v>185</v>
      </c>
      <c r="F62" s="184" t="s">
        <v>184</v>
      </c>
      <c r="G62" s="194" t="s">
        <v>186</v>
      </c>
    </row>
    <row r="63" spans="5:7" x14ac:dyDescent="0.35">
      <c r="E63" s="184" t="s">
        <v>189</v>
      </c>
      <c r="F63" s="184" t="s">
        <v>188</v>
      </c>
      <c r="G63" s="194" t="s">
        <v>190</v>
      </c>
    </row>
    <row r="64" spans="5:7" x14ac:dyDescent="0.35">
      <c r="E64" s="184" t="s">
        <v>193</v>
      </c>
      <c r="F64" s="184" t="s">
        <v>194</v>
      </c>
      <c r="G64" s="184" t="s">
        <v>194</v>
      </c>
    </row>
    <row r="65" spans="5:7" x14ac:dyDescent="0.35">
      <c r="E65" s="184" t="s">
        <v>195</v>
      </c>
      <c r="F65" s="184" t="s">
        <v>196</v>
      </c>
      <c r="G65" s="184" t="s">
        <v>197</v>
      </c>
    </row>
    <row r="66" spans="5:7" x14ac:dyDescent="0.35">
      <c r="E66" s="194" t="s">
        <v>199</v>
      </c>
      <c r="F66" s="194" t="s">
        <v>200</v>
      </c>
      <c r="G66" s="194" t="s">
        <v>201</v>
      </c>
    </row>
    <row r="67" spans="5:7" x14ac:dyDescent="0.35">
      <c r="E67" s="194" t="s">
        <v>202</v>
      </c>
      <c r="F67" s="194" t="s">
        <v>203</v>
      </c>
      <c r="G67" s="194" t="s">
        <v>204</v>
      </c>
    </row>
    <row r="68" spans="5:7" x14ac:dyDescent="0.35">
      <c r="E68" s="194" t="s">
        <v>205</v>
      </c>
      <c r="F68" s="194" t="s">
        <v>206</v>
      </c>
      <c r="G68" s="194" t="s">
        <v>207</v>
      </c>
    </row>
    <row r="69" spans="5:7" x14ac:dyDescent="0.35">
      <c r="E69" s="194" t="s">
        <v>208</v>
      </c>
      <c r="F69" s="194" t="s">
        <v>209</v>
      </c>
      <c r="G69" s="194" t="s">
        <v>210</v>
      </c>
    </row>
    <row r="70" spans="5:7" x14ac:dyDescent="0.35">
      <c r="E70" s="194" t="s">
        <v>211</v>
      </c>
      <c r="F70" s="194" t="s">
        <v>212</v>
      </c>
      <c r="G70" s="194" t="s">
        <v>213</v>
      </c>
    </row>
    <row r="71" spans="5:7" x14ac:dyDescent="0.35">
      <c r="E71" s="184" t="s">
        <v>214</v>
      </c>
      <c r="F71" s="184" t="s">
        <v>215</v>
      </c>
      <c r="G71" s="184" t="s">
        <v>216</v>
      </c>
    </row>
    <row r="72" spans="5:7" x14ac:dyDescent="0.35">
      <c r="E72" s="194" t="s">
        <v>218</v>
      </c>
      <c r="F72" s="194" t="s">
        <v>219</v>
      </c>
      <c r="G72" s="205" t="s">
        <v>220</v>
      </c>
    </row>
    <row r="73" spans="5:7" x14ac:dyDescent="0.35">
      <c r="E73" s="194" t="s">
        <v>222</v>
      </c>
      <c r="F73" s="194" t="s">
        <v>223</v>
      </c>
      <c r="G73" s="194" t="s">
        <v>224</v>
      </c>
    </row>
    <row r="74" spans="5:7" x14ac:dyDescent="0.35">
      <c r="E74" s="194" t="s">
        <v>226</v>
      </c>
      <c r="F74" s="194" t="s">
        <v>227</v>
      </c>
      <c r="G74" s="194" t="s">
        <v>228</v>
      </c>
    </row>
    <row r="75" spans="5:7" x14ac:dyDescent="0.35">
      <c r="E75" s="184" t="s">
        <v>229</v>
      </c>
      <c r="F75" s="184" t="s">
        <v>229</v>
      </c>
      <c r="G75" s="184" t="s">
        <v>229</v>
      </c>
    </row>
    <row r="76" spans="5:7" ht="24" x14ac:dyDescent="0.35">
      <c r="E76" s="184" t="s">
        <v>230</v>
      </c>
      <c r="F76" s="184" t="s">
        <v>231</v>
      </c>
      <c r="G76" s="184" t="s">
        <v>232</v>
      </c>
    </row>
    <row r="77" spans="5:7" x14ac:dyDescent="0.35">
      <c r="E77" s="184" t="s">
        <v>254</v>
      </c>
      <c r="F77" s="184" t="s">
        <v>255</v>
      </c>
      <c r="G77" s="194" t="s">
        <v>256</v>
      </c>
    </row>
    <row r="78" spans="5:7" x14ac:dyDescent="0.35">
      <c r="E78" s="184" t="s">
        <v>234</v>
      </c>
      <c r="F78" s="184" t="s">
        <v>235</v>
      </c>
      <c r="G78" s="194" t="s">
        <v>235</v>
      </c>
    </row>
    <row r="79" spans="5:7" x14ac:dyDescent="0.35">
      <c r="E79" s="184" t="s">
        <v>243</v>
      </c>
      <c r="F79" s="184" t="s">
        <v>244</v>
      </c>
      <c r="G79" s="194" t="s">
        <v>245</v>
      </c>
    </row>
    <row r="80" spans="5:7" x14ac:dyDescent="0.35">
      <c r="E80" s="184" t="s">
        <v>246</v>
      </c>
      <c r="F80" s="184" t="s">
        <v>247</v>
      </c>
      <c r="G80" s="194" t="s">
        <v>247</v>
      </c>
    </row>
    <row r="81" spans="5:7" x14ac:dyDescent="0.35">
      <c r="E81" s="184" t="s">
        <v>248</v>
      </c>
      <c r="F81" s="184" t="s">
        <v>249</v>
      </c>
      <c r="G81" s="184" t="s">
        <v>250</v>
      </c>
    </row>
    <row r="82" spans="5:7" x14ac:dyDescent="0.35">
      <c r="E82" s="184" t="s">
        <v>251</v>
      </c>
      <c r="F82" s="184" t="s">
        <v>252</v>
      </c>
      <c r="G82" s="194" t="s">
        <v>253</v>
      </c>
    </row>
    <row r="83" spans="5:7" ht="24" x14ac:dyDescent="0.35">
      <c r="E83" s="184" t="s">
        <v>258</v>
      </c>
      <c r="F83" s="184" t="s">
        <v>259</v>
      </c>
      <c r="G83" s="184" t="s">
        <v>260</v>
      </c>
    </row>
    <row r="84" spans="5:7" ht="24" x14ac:dyDescent="0.35">
      <c r="E84" s="184" t="s">
        <v>261</v>
      </c>
      <c r="F84" s="184" t="s">
        <v>262</v>
      </c>
      <c r="G84" s="218" t="s">
        <v>263</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Cortec</vt:lpstr>
      <vt:lpstr>Configurator</vt:lpstr>
      <vt:lpstr>Master Text</vt:lpstr>
      <vt:lpstr>Accessories</vt:lpstr>
      <vt:lpstr>Database</vt:lpstr>
      <vt:lpstr>Date Drivers</vt:lpstr>
      <vt:lpstr>Language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Stegmann Pineda</dc:creator>
  <cp:lastModifiedBy>Zapella, Marcelo (GE Vernova)</cp:lastModifiedBy>
  <cp:lastPrinted>2014-03-11T13:54:46Z</cp:lastPrinted>
  <dcterms:created xsi:type="dcterms:W3CDTF">2012-11-20T14:50:48Z</dcterms:created>
  <dcterms:modified xsi:type="dcterms:W3CDTF">2023-12-08T13:51:17Z</dcterms:modified>
</cp:coreProperties>
</file>